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T92zHtHHFviTANo1Kjn1s6JV1iLvATb1MjeU3sfbx8IZOzvCEOiHT1bhukxzXDfMVpduT3tuErPpuC8Bnwi8w==" workbookSaltValue="sClRo2VPqpREv4pSZcpxy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C18" i="7"/>
  <c r="R8" i="9"/>
  <c r="BH9" i="16" s="1"/>
  <c r="R19" i="8"/>
  <c r="EP19" i="8"/>
  <c r="EP19" i="19"/>
  <c r="BJ17" i="11"/>
  <c r="BL17" i="11"/>
  <c r="S13" i="16"/>
  <c r="P13" i="16"/>
  <c r="W13" i="20"/>
  <c r="M18" i="2"/>
  <c r="H13" i="12"/>
  <c r="F13" i="7"/>
  <c r="AZ17" i="11"/>
  <c r="Q10" i="21"/>
  <c r="BJ11" i="11"/>
  <c r="BI17" i="11"/>
  <c r="BL11" i="11"/>
  <c r="BM15" i="11"/>
  <c r="T15" i="16"/>
  <c r="BW9" i="20"/>
  <c r="BV16" i="16"/>
  <c r="BV15" i="16"/>
  <c r="BU9" i="17"/>
  <c r="BU17" i="17"/>
  <c r="BV9" i="16"/>
  <c r="T13" i="16"/>
  <c r="AZ12" i="11"/>
  <c r="T16" i="11"/>
  <c r="Q17" i="17"/>
  <c r="BI9" i="11"/>
  <c r="BJ10" i="11"/>
  <c r="BH11" i="11"/>
  <c r="T11" i="11"/>
  <c r="AQ12" i="21"/>
  <c r="BL16" i="11"/>
  <c r="BD9" i="8"/>
  <c r="L12" i="2"/>
  <c r="AP13" i="16"/>
  <c r="F11" i="11"/>
  <c r="AQ11" i="11" s="1"/>
  <c r="T18" i="17"/>
  <c r="BF15" i="13"/>
  <c r="BE16" i="13"/>
  <c r="BF16" i="13"/>
  <c r="Z20" i="20"/>
  <c r="AK20" i="20"/>
  <c r="T20" i="20"/>
  <c r="O16" i="11"/>
  <c r="H20" i="20"/>
  <c r="G18" i="14"/>
  <c r="G18" i="12" l="1"/>
  <c r="L19" i="8"/>
  <c r="AG19" i="8"/>
  <c r="I19" i="8"/>
  <c r="BD12" i="8"/>
  <c r="BE12" i="8"/>
  <c r="AJ19" i="8"/>
  <c r="AY13" i="8"/>
  <c r="E10" i="6"/>
  <c r="AO12" i="11"/>
  <c r="L11" i="14"/>
  <c r="BE15" i="13"/>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T20" i="21"/>
  <c r="U16" i="11"/>
  <c r="AX20" i="20"/>
  <c r="Y20" i="20"/>
  <c r="O10" i="11"/>
  <c r="AM20" i="20"/>
  <c r="Q20" i="20"/>
  <c r="AB20" i="20"/>
  <c r="AI20" i="20"/>
  <c r="AZ20" i="20"/>
  <c r="AV20" i="20"/>
  <c r="AU20" i="20"/>
  <c r="M20" i="20"/>
  <c r="AQ20" i="21"/>
  <c r="AP20" i="20"/>
  <c r="AH20" i="20"/>
  <c r="N20" i="20"/>
  <c r="AD20" i="20"/>
  <c r="AE20" i="20"/>
  <c r="AG20" i="20"/>
  <c r="W20" i="21"/>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<sst xmlns="http://schemas.openxmlformats.org/spreadsheetml/2006/main" count="2066" uniqueCount="906">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</sst>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MBHEw1ia4ryDD5vy6CkmH8RIWdXA6PkXbWUQL32nq3NPevAiGJ8/Y5mKMtieCLuUXBjuUXfRzcYnsU4jDNzjg==" saltValue="nkBGsdboz2+rrFsBsXKd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25.127625201938613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24</v>
      </c>
      <c r="D10" s="225">
        <f>IF(ISNUMBER(Datos!I10),Datos!I10," - ")</f>
        <v>24</v>
      </c>
      <c r="E10" s="226">
        <f>IF(ISNUMBER(Datos!J10),Datos!J10," - ")</f>
        <v>19</v>
      </c>
      <c r="F10" s="226">
        <f>IF(ISNUMBER(Datos!K10),Datos!K10," - ")</f>
        <v>20</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-4.1666666666666664E-2</v>
      </c>
      <c r="L10" s="1025">
        <f>IF(ISNUMBER(NºAsuntos!I10/NºAsuntos!G10),(NºAsuntos!I10/NºAsuntos!G10)*11," - ")</f>
        <v>12.649999999999999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19.324324324324326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24</v>
      </c>
      <c r="D13" s="1049">
        <f>SUBTOTAL(9,D9:D12)</f>
        <v>24</v>
      </c>
      <c r="E13" s="1050">
        <f>SUBTOTAL(9,E9:E12)</f>
        <v>19</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1869</v>
      </c>
      <c r="D15" s="225">
        <f>IF(ISNUMBER(IF(D_I="SI",Datos!I15,Datos!I15+Datos!AC15)),IF(D_I="SI",Datos!I15,Datos!I15+Datos!AC15)," - ")</f>
        <v>1851</v>
      </c>
      <c r="E15" s="226">
        <f>IF(ISNUMBER(IF(D_I="SI",Datos!J15,Datos!J15+Datos!AD15)),IF(D_I="SI",Datos!J15,Datos!J15+Datos!AD15)," - ")</f>
        <v>1249</v>
      </c>
      <c r="F15" s="226">
        <f>IF(ISNUMBER(IF(D_I="SI",Datos!K15,Datos!K15+Datos!AE15)),IF(D_I="SI",Datos!K15,Datos!K15+Datos!AE15)," - ")</f>
        <v>1280</v>
      </c>
      <c r="G15" s="1034" t="str">
        <f>IF(Datos!E15&lt;&gt;"",Datos!E15,Datos!D15)</f>
        <v>03</v>
      </c>
      <c r="H15" s="227">
        <f>IF(ISNUMBER(IF(D_I="SI",Datos!L15,Datos!L15+Datos!AF15)),IF(D_I="SI",Datos!L15,Datos!L15+Datos!AF15)," - ")</f>
        <v>1838</v>
      </c>
      <c r="I15" s="1044" t="str">
        <f>IF(ISNUMBER(Datos!AS15/Datos!BM15),Datos!AS15/Datos!BM15," - ")</f>
        <v xml:space="preserve"> - </v>
      </c>
      <c r="J15" s="1045">
        <f>IF(ISNUMBER(Datos!BY15/Datos!CN15),Datos!BY15/Datos!CN15," - ")</f>
        <v>0</v>
      </c>
      <c r="K15" s="230">
        <f t="shared" ref="K15:K17" si="3">IF(ISNUMBER((E15-F15)/C15),(E15-F15)/C15," - ")</f>
        <v>-1.6586409844836811E-2</v>
      </c>
      <c r="L15" s="1025">
        <f>IF(ISNUMBER(NºAsuntos!I15/NºAsuntos!G15),(NºAsuntos!I15/NºAsuntos!G15)*11," - ")</f>
        <v>15.795312500000001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289</v>
      </c>
      <c r="D16" s="225">
        <f>IF(ISNUMBER(IF(D_I="SI",Datos!I16,Datos!I16+Datos!AC16)),IF(D_I="SI",Datos!I16,Datos!I16+Datos!AC16)," - ")</f>
        <v>286</v>
      </c>
      <c r="E16" s="226">
        <f>IF(ISNUMBER(IF(D_I="SI",Datos!J16,Datos!J16+Datos!AD16)),IF(D_I="SI",Datos!J16,Datos!J16+Datos!AD16)," - ")</f>
        <v>12</v>
      </c>
      <c r="F16" s="226">
        <f>IF(ISNUMBER(IF(D_I="SI",Datos!K16,Datos!K16+Datos!AE16)),IF(D_I="SI",Datos!K16,Datos!K16+Datos!AE16)," - ")</f>
        <v>42</v>
      </c>
      <c r="G16" s="1034" t="str">
        <f>IF(Datos!E16&lt;&gt;"",Datos!E16,Datos!D16)</f>
        <v>04</v>
      </c>
      <c r="H16" s="227">
        <f>IF(ISNUMBER(IF(D_I="SI",Datos!L16,Datos!L16+Datos!AF16)),IF(D_I="SI",Datos!L16,Datos!L16+Datos!AF16)," - ")</f>
        <v>259</v>
      </c>
      <c r="I16" s="1044" t="str">
        <f>IF(ISNUMBER(Datos!AS16/Datos!BM16),Datos!AS16/Datos!BM16," - ")</f>
        <v xml:space="preserve"> - </v>
      </c>
      <c r="J16" s="1045">
        <f>IF(ISNUMBER(Datos!BY16/Datos!CN16),Datos!BY16/Datos!CN16," - ")</f>
        <v>0</v>
      </c>
      <c r="K16" s="230">
        <f t="shared" si="3"/>
        <v>-0.10380622837370242</v>
      </c>
      <c r="L16" s="1025">
        <f>IF(ISNUMBER(NºAsuntos!I16/NºAsuntos!G16),(NºAsuntos!I16/NºAsuntos!G16)*11," - ")</f>
        <v>67.833333333333343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213</v>
      </c>
      <c r="D17" s="225">
        <f>IF(ISNUMBER(IF(D_I="SI",Datos!I17,Datos!I17+Datos!AC17)),IF(D_I="SI",Datos!I17,Datos!I17+Datos!AC17)," - ")</f>
        <v>213</v>
      </c>
      <c r="E17" s="226">
        <f>IF(ISNUMBER(IF(D_I="SI",Datos!J17,Datos!J17+Datos!AD17)),IF(D_I="SI",Datos!J17,Datos!J17+Datos!AD17)," - ")</f>
        <v>126</v>
      </c>
      <c r="F17" s="226">
        <f>IF(ISNUMBER(IF(D_I="SI",Datos!K17,Datos!K17+Datos!AE17)),IF(D_I="SI",Datos!K17,Datos!K17+Datos!AE17)," - ")</f>
        <v>115</v>
      </c>
      <c r="G17" s="1034" t="str">
        <f>IF(Datos!E17&lt;&gt;"",Datos!E17,Datos!D17)</f>
        <v>37</v>
      </c>
      <c r="H17" s="227">
        <f>IF(ISNUMBER(IF(D_I="SI",Datos!L17,Datos!L17+Datos!AF17)),IF(D_I="SI",Datos!L17,Datos!L17+Datos!AF17)," - ")</f>
        <v>224</v>
      </c>
      <c r="I17" s="1044" t="str">
        <f>IF(ISNUMBER(Datos!AS17/Datos!BM17),Datos!AS17/Datos!BM17," - ")</f>
        <v xml:space="preserve"> - </v>
      </c>
      <c r="J17" s="1045" t="str">
        <f>IF(ISNUMBER((Datos!BY17+Datos!BZ17)/Datos!CN17),(Datos!BY17+Datos!BZ17)/Datos!CN17," - ")</f>
        <v xml:space="preserve"> - </v>
      </c>
      <c r="K17" s="230">
        <f t="shared" si="3"/>
        <v>5.1643192488262914E-2</v>
      </c>
      <c r="L17" s="1025">
        <f>IF(ISNUMBER(NºAsuntos!I17/NºAsuntos!G17),(NºAsuntos!I17/NºAsuntos!G17)*11," - ")</f>
        <v>21.42608695652174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2371</v>
      </c>
      <c r="D18" s="1049">
        <f>SUBTOTAL(9,D15:D17)</f>
        <v>2350</v>
      </c>
      <c r="E18" s="1050">
        <f>SUBTOTAL(9,E15:E17)</f>
        <v>1387</v>
      </c>
      <c r="F18" s="1050">
        <f>SUBTOTAL(9,F15:F17)</f>
        <v>1437</v>
      </c>
      <c r="G18" s="1052" t="str">
        <f ca="1">INDIRECT(CONCATENATE("G",ROW()-1))</f>
        <v>37</v>
      </c>
      <c r="H18" s="1053">
        <f ca="1">SUMIF(G$14:G17,G18,H$14:H17)</f>
        <v>224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2395</v>
      </c>
      <c r="D19" s="1071">
        <f>SUBTOTAL(9,D9:D18)</f>
        <v>2374</v>
      </c>
      <c r="E19" s="1072">
        <f>SUBTOTAL(9,E9:E18)</f>
        <v>1406</v>
      </c>
      <c r="F19" s="1072">
        <f>SUBTOTAL(9,F9:F18)</f>
        <v>1457</v>
      </c>
      <c r="G19" s="1073"/>
      <c r="H19" s="1074">
        <f ca="1">SUMIF(B9:B18,"TOTAL",H9:H18)</f>
        <v>224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mO3sQirOJzCDtzGZVDujgrHKTOkWs/EqDUwTgn0PFBzx2tl0kSNTbIahzXxTd9SYx2vzvPBSEnNQeaMVxz+6Gw==" saltValue="DBLVL02CxkbpwZDKpzq+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ybvvg6h2JqCwTQrge456sH9G81BsPvzpTyaFSAsjQpOI/ZBZFHkWGtgQrouz6/nJO4WX6NQU2IOs+52KeichQ==" saltValue="0la/VeASiTgiHI/g1BYB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3408</v>
      </c>
      <c r="J9" s="181">
        <v>2534</v>
      </c>
      <c r="K9" s="181">
        <v>1751</v>
      </c>
      <c r="L9" s="181">
        <v>4191</v>
      </c>
      <c r="M9" s="181">
        <v>582</v>
      </c>
      <c r="N9" s="181">
        <v>568</v>
      </c>
      <c r="O9" s="181">
        <v>711</v>
      </c>
      <c r="P9" s="181">
        <v>398</v>
      </c>
      <c r="Q9" s="181">
        <v>180</v>
      </c>
      <c r="R9" s="181">
        <v>4326</v>
      </c>
      <c r="S9" s="181">
        <v>1390</v>
      </c>
      <c r="T9" s="181">
        <v>1090</v>
      </c>
      <c r="U9" s="181">
        <v>1023</v>
      </c>
      <c r="V9" s="181">
        <v>1457</v>
      </c>
      <c r="W9" s="181">
        <v>283</v>
      </c>
      <c r="X9" s="188">
        <v>349</v>
      </c>
      <c r="Y9" s="191">
        <v>53</v>
      </c>
      <c r="Z9" s="181">
        <v>104</v>
      </c>
      <c r="AA9" s="181">
        <v>106</v>
      </c>
      <c r="AB9" s="181">
        <v>51</v>
      </c>
      <c r="AC9" s="181">
        <v>0</v>
      </c>
      <c r="AD9" s="181">
        <v>0</v>
      </c>
      <c r="AE9" s="181">
        <v>0</v>
      </c>
      <c r="AF9" s="188">
        <v>0</v>
      </c>
      <c r="AG9" s="191">
        <v>38</v>
      </c>
      <c r="AH9" s="181">
        <v>96</v>
      </c>
      <c r="AI9" s="181">
        <v>88</v>
      </c>
      <c r="AJ9" s="192">
        <v>46</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1428</v>
      </c>
      <c r="AZ9" s="123">
        <f>IF(ISNUMBER(IF(J_V="SI",T9,T9+AH9)),IF(J_V="SI",T9,T9+AH9)," - ")</f>
        <v>1186</v>
      </c>
      <c r="BA9" s="124">
        <f>IF(ISNUMBER(IF(J_V="SI",U9,U9+AI9)),IF(J_V="SI",U9,U9+AI9)," - ")</f>
        <v>1111</v>
      </c>
      <c r="BB9" s="124">
        <f>IF(ISNUMBER(IF(J_V="SI",V9,V9+AJ9)),IF(J_V="SI",V9,V9+AJ9)," - ")</f>
        <v>1503</v>
      </c>
      <c r="BC9" s="125">
        <f>IF(ISNUMBER(X9),X9," - ")</f>
        <v>349</v>
      </c>
      <c r="BD9" s="126">
        <f>IF(ISNUMBER(BA9/AZ9),BA9/AZ9," - ")</f>
        <v>0.93676222596964587</v>
      </c>
      <c r="BE9" s="127">
        <f>IF(ISNUMBER(BB9/BA9),BB9/BA9, " - ")</f>
        <v>1.3528352835283528</v>
      </c>
      <c r="BF9" s="127">
        <f>IF(ISNUMBER(BC9/BA9),BC9/BA9, " - ")</f>
        <v>0.31413141314131415</v>
      </c>
      <c r="BG9" s="196">
        <f>IF(ISNUMBER((AY9+AZ9)/BA9),(AY9+AZ9)/BA9," - ")</f>
        <v>2.352835283528353</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24</v>
      </c>
      <c r="J10" s="181">
        <v>19</v>
      </c>
      <c r="K10" s="181">
        <v>20</v>
      </c>
      <c r="L10" s="181">
        <v>23</v>
      </c>
      <c r="M10" s="181">
        <v>13</v>
      </c>
      <c r="N10" s="181">
        <v>2</v>
      </c>
      <c r="O10" s="181">
        <v>3</v>
      </c>
      <c r="P10" s="181">
        <v>4</v>
      </c>
      <c r="Q10" s="181">
        <v>3</v>
      </c>
      <c r="R10" s="181">
        <v>45</v>
      </c>
      <c r="S10" s="181">
        <v>28</v>
      </c>
      <c r="T10" s="181">
        <v>13</v>
      </c>
      <c r="U10" s="181">
        <v>10</v>
      </c>
      <c r="V10" s="181">
        <v>31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28</v>
      </c>
      <c r="AZ10" s="129">
        <f t="shared" si="0"/>
        <v>13</v>
      </c>
      <c r="BA10" s="129">
        <f t="shared" si="0"/>
        <v>10</v>
      </c>
      <c r="BB10" s="129">
        <f t="shared" si="0"/>
        <v>31</v>
      </c>
      <c r="BC10" s="125">
        <f t="shared" si="0"/>
        <v>0</v>
      </c>
      <c r="BD10" s="126">
        <f>IF(ISNUMBER(BA10/AZ10),BA10/AZ10," - ")</f>
        <v>0.76923076923076927</v>
      </c>
      <c r="BE10" s="127">
        <f>IF(ISNUMBER(BB10/BA10),BB10/BA10, " - ")</f>
        <v>3.1</v>
      </c>
      <c r="BF10" s="127">
        <f>IF(ISNUMBER(BC10/BA10),BC10/BA10, " - ")</f>
        <v>0</v>
      </c>
      <c r="BG10" s="196">
        <f>IF(ISNUMBER((AY10+AZ10)/BA10),(AY10+AZ10)/BA10," - ")</f>
        <v>4.0999999999999996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87</v>
      </c>
      <c r="J12" s="183">
        <v>11</v>
      </c>
      <c r="K12" s="183">
        <v>33</v>
      </c>
      <c r="L12" s="183">
        <v>65</v>
      </c>
      <c r="M12" s="183">
        <v>12</v>
      </c>
      <c r="N12" s="183">
        <v>15</v>
      </c>
      <c r="O12" s="181">
        <v>59</v>
      </c>
      <c r="P12" s="183">
        <v>0</v>
      </c>
      <c r="Q12" s="183">
        <v>44</v>
      </c>
      <c r="R12" s="183">
        <v>1881</v>
      </c>
      <c r="S12" s="183">
        <v>868</v>
      </c>
      <c r="T12" s="183">
        <v>105</v>
      </c>
      <c r="U12" s="183">
        <v>453</v>
      </c>
      <c r="V12" s="183">
        <v>526</v>
      </c>
      <c r="W12" s="183">
        <v>100</v>
      </c>
      <c r="X12" s="189">
        <v>177</v>
      </c>
      <c r="Y12" s="191">
        <v>0</v>
      </c>
      <c r="Z12" s="181">
        <v>4</v>
      </c>
      <c r="AA12" s="181">
        <v>4</v>
      </c>
      <c r="AB12" s="181">
        <v>0</v>
      </c>
      <c r="AC12" s="183">
        <v>0</v>
      </c>
      <c r="AD12" s="183">
        <v>0</v>
      </c>
      <c r="AE12" s="183">
        <v>0</v>
      </c>
      <c r="AF12" s="189">
        <v>0</v>
      </c>
      <c r="AG12" s="202">
        <v>15</v>
      </c>
      <c r="AH12" s="183">
        <v>8</v>
      </c>
      <c r="AI12" s="183">
        <v>19</v>
      </c>
      <c r="AJ12" s="203">
        <v>8</v>
      </c>
      <c r="AK12" s="182">
        <v>0</v>
      </c>
      <c r="AL12" s="183">
        <v>0</v>
      </c>
      <c r="AM12" s="183">
        <v>0</v>
      </c>
      <c r="AN12" s="189">
        <v>0</v>
      </c>
      <c r="AO12" s="259">
        <v>0</v>
      </c>
      <c r="AP12" s="155">
        <v>0</v>
      </c>
      <c r="AQ12" s="155">
        <v>0</v>
      </c>
      <c r="AR12" s="154">
        <v>0</v>
      </c>
      <c r="AS12" s="340" t="s">
        <v>794</v>
      </c>
      <c r="AT12" s="203"/>
      <c r="AU12" s="202"/>
      <c r="AV12" s="203"/>
      <c r="AW12" s="202"/>
      <c r="AX12" s="203"/>
      <c r="AY12" s="126">
        <f t="shared" si="1"/>
        <v>883</v>
      </c>
      <c r="AZ12" s="127">
        <f t="shared" si="1"/>
        <v>113</v>
      </c>
      <c r="BA12" s="127">
        <f t="shared" si="1"/>
        <v>472</v>
      </c>
      <c r="BB12" s="127">
        <f t="shared" si="1"/>
        <v>534</v>
      </c>
      <c r="BC12" s="125">
        <f>IF(ISNUMBER(X12),X12," - ")</f>
        <v>177</v>
      </c>
      <c r="BD12" s="126">
        <f t="shared" si="2"/>
        <v>4.1769911504424782</v>
      </c>
      <c r="BE12" s="127">
        <f t="shared" si="3"/>
        <v>1.1313559322033899</v>
      </c>
      <c r="BF12" s="127">
        <f t="shared" si="4"/>
        <v>0.375</v>
      </c>
      <c r="BG12" s="196">
        <f t="shared" si="5"/>
        <v>2.1101694915254239</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3519</v>
      </c>
      <c r="J13" s="184">
        <f t="shared" si="6"/>
        <v>2564</v>
      </c>
      <c r="K13" s="184">
        <f t="shared" si="6"/>
        <v>1804</v>
      </c>
      <c r="L13" s="184">
        <f t="shared" si="6"/>
        <v>4279</v>
      </c>
      <c r="M13" s="184">
        <f t="shared" si="6"/>
        <v>607</v>
      </c>
      <c r="N13" s="184">
        <f t="shared" si="6"/>
        <v>585</v>
      </c>
      <c r="O13" s="184">
        <f t="shared" si="6"/>
        <v>773</v>
      </c>
      <c r="P13" s="184">
        <f t="shared" si="6"/>
        <v>402</v>
      </c>
      <c r="Q13" s="184">
        <f t="shared" si="6"/>
        <v>227</v>
      </c>
      <c r="R13" s="184">
        <f t="shared" si="6"/>
        <v>6252</v>
      </c>
      <c r="S13" s="184">
        <f t="shared" si="6"/>
        <v>2286</v>
      </c>
      <c r="T13" s="184">
        <f t="shared" si="6"/>
        <v>1208</v>
      </c>
      <c r="U13" s="184">
        <f t="shared" si="6"/>
        <v>1486</v>
      </c>
      <c r="V13" s="184">
        <f t="shared" si="6"/>
        <v>2014</v>
      </c>
      <c r="W13" s="184">
        <f t="shared" si="6"/>
        <v>383</v>
      </c>
      <c r="X13" s="184">
        <f t="shared" si="6"/>
        <v>526</v>
      </c>
      <c r="Y13" s="184">
        <f t="shared" si="6"/>
        <v>53</v>
      </c>
      <c r="Z13" s="184">
        <f t="shared" si="6"/>
        <v>108</v>
      </c>
      <c r="AA13" s="184">
        <f t="shared" si="6"/>
        <v>110</v>
      </c>
      <c r="AB13" s="184">
        <f t="shared" si="6"/>
        <v>51</v>
      </c>
      <c r="AC13" s="184">
        <f t="shared" si="6"/>
        <v>0</v>
      </c>
      <c r="AD13" s="184">
        <f t="shared" si="6"/>
        <v>0</v>
      </c>
      <c r="AE13" s="184">
        <f t="shared" si="6"/>
        <v>0</v>
      </c>
      <c r="AF13" s="184">
        <f>SUBTOTAL(9,AF9:AF12)</f>
        <v>0</v>
      </c>
      <c r="AG13" s="184">
        <f t="shared" ref="AG13:AT13" si="7">SUBTOTAL(9,AG8:AG12)</f>
        <v>53</v>
      </c>
      <c r="AH13" s="184">
        <f t="shared" si="7"/>
        <v>104</v>
      </c>
      <c r="AI13" s="184">
        <f t="shared" si="7"/>
        <v>107</v>
      </c>
      <c r="AJ13" s="184">
        <f t="shared" si="7"/>
        <v>54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2339</v>
      </c>
      <c r="AZ13" s="184">
        <f>SUBTOTAL(9,AZ8:AZ12)</f>
        <v>1312</v>
      </c>
      <c r="BA13" s="184">
        <f>SUBTOTAL(9,BA8:BA12)</f>
        <v>1593</v>
      </c>
      <c r="BB13" s="184">
        <f>SUBTOTAL(9,BB8:BB12)</f>
        <v>2068</v>
      </c>
      <c r="BC13" s="184">
        <f>SUBTOTAL(9,BC8:BC12)</f>
        <v>526</v>
      </c>
      <c r="BD13" s="205">
        <f>IF(ISNUMBER(BA13/AZ13),BA13/AZ13," - ")</f>
        <v>1.2141768292682926</v>
      </c>
      <c r="BE13" s="206">
        <f>IF(ISNUMBER(BB13/BA13),BB13/BA13, " - ")</f>
        <v>1.2981795354676711</v>
      </c>
      <c r="BF13" s="206">
        <f>IF(ISNUMBER(BC13/BA13),BC13/BA13, " - ")</f>
        <v>0.33019460138104206</v>
      </c>
      <c r="BG13" s="207">
        <f>IF(ISNUMBER((AY13+AZ13)/BA13),(AY13+AZ13)/BA13," - ")</f>
        <v>2.2919020715630887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1851</v>
      </c>
      <c r="J15" s="183">
        <v>1249</v>
      </c>
      <c r="K15" s="183">
        <v>1280</v>
      </c>
      <c r="L15" s="183">
        <v>1838</v>
      </c>
      <c r="M15" s="183">
        <v>197</v>
      </c>
      <c r="N15" s="183">
        <v>796</v>
      </c>
      <c r="O15" s="181">
        <v>20</v>
      </c>
      <c r="P15" s="183">
        <v>49</v>
      </c>
      <c r="Q15" s="183">
        <v>28</v>
      </c>
      <c r="R15" s="183">
        <v>242</v>
      </c>
      <c r="S15" s="183">
        <v>472</v>
      </c>
      <c r="T15" s="183">
        <v>1147</v>
      </c>
      <c r="U15" s="183">
        <v>735</v>
      </c>
      <c r="V15" s="183">
        <v>887</v>
      </c>
      <c r="W15" s="183">
        <v>78</v>
      </c>
      <c r="X15" s="189">
        <v>523</v>
      </c>
      <c r="Y15" s="202">
        <v>0</v>
      </c>
      <c r="Z15" s="183">
        <v>0</v>
      </c>
      <c r="AA15" s="183">
        <v>0</v>
      </c>
      <c r="AB15" s="183">
        <v>0</v>
      </c>
      <c r="AC15" s="183">
        <v>0</v>
      </c>
      <c r="AD15" s="183">
        <v>0</v>
      </c>
      <c r="AE15" s="183">
        <v>0</v>
      </c>
      <c r="AF15" s="189">
        <v>0</v>
      </c>
      <c r="AG15" s="202">
        <v>0</v>
      </c>
      <c r="AH15" s="183">
        <v>0</v>
      </c>
      <c r="AI15" s="183">
        <v>0</v>
      </c>
      <c r="AJ15" s="203">
        <v>0</v>
      </c>
      <c r="AK15" s="182">
        <v>0</v>
      </c>
      <c r="AL15" s="183">
        <v>1</v>
      </c>
      <c r="AM15" s="183">
        <v>1</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472</v>
      </c>
      <c r="AZ15" s="129">
        <f t="shared" si="9"/>
        <v>1147</v>
      </c>
      <c r="BA15" s="129">
        <f t="shared" si="9"/>
        <v>735</v>
      </c>
      <c r="BB15" s="129">
        <f t="shared" si="9"/>
        <v>887</v>
      </c>
      <c r="BC15" s="125">
        <f>IF(ISNUMBER(W15),W15," - ")</f>
        <v>78</v>
      </c>
      <c r="BD15" s="126">
        <f>IF(ISNUMBER(BA15/AZ15),BA15/AZ15," - ")</f>
        <v>0.64080209241499564</v>
      </c>
      <c r="BE15" s="127">
        <f>IF(ISNUMBER(BB15/BA15),BB15/BA15, " - ")</f>
        <v>1.2068027210884353</v>
      </c>
      <c r="BF15" s="127">
        <f>IF(ISNUMBER(BC15/BA15),BC15/BA15, " - ")</f>
        <v>0.10612244897959183</v>
      </c>
      <c r="BG15" s="196">
        <f t="shared" ref="BG15:BG16" si="10">IF(ISNUMBER((AY15+AZ15)/BA15),(AY15+AZ15)/BA15," - ")</f>
        <v>2.2027210884353741</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286</v>
      </c>
      <c r="J16" s="183">
        <v>12</v>
      </c>
      <c r="K16" s="183">
        <v>42</v>
      </c>
      <c r="L16" s="183">
        <v>259</v>
      </c>
      <c r="M16" s="183">
        <v>7</v>
      </c>
      <c r="N16" s="183">
        <v>10</v>
      </c>
      <c r="O16" s="181">
        <v>2</v>
      </c>
      <c r="P16" s="183">
        <v>6</v>
      </c>
      <c r="Q16" s="183">
        <v>6</v>
      </c>
      <c r="R16" s="183">
        <v>0</v>
      </c>
      <c r="S16" s="183">
        <v>868</v>
      </c>
      <c r="T16" s="183">
        <v>113</v>
      </c>
      <c r="U16" s="183">
        <v>367</v>
      </c>
      <c r="V16" s="183">
        <v>609</v>
      </c>
      <c r="W16" s="183">
        <v>59</v>
      </c>
      <c r="X16" s="189">
        <v>196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868</v>
      </c>
      <c r="AZ16" s="127">
        <f t="shared" si="9"/>
        <v>113</v>
      </c>
      <c r="BA16" s="127">
        <f t="shared" si="9"/>
        <v>367</v>
      </c>
      <c r="BB16" s="127">
        <f t="shared" si="9"/>
        <v>609</v>
      </c>
      <c r="BC16" s="125">
        <f>IF(ISNUMBER(W16),W16," - ")</f>
        <v>59</v>
      </c>
      <c r="BD16" s="126">
        <f t="shared" ref="BD16" si="11">IF(ISNUMBER(BA16/AZ16),BA16/AZ16," - ")</f>
        <v>3.247787610619469</v>
      </c>
      <c r="BE16" s="127">
        <f t="shared" ref="BE16" si="12">IF(ISNUMBER(BB16/BA16),BB16/BA16, " - ")</f>
        <v>1.659400544959128</v>
      </c>
      <c r="BF16" s="127">
        <f t="shared" ref="BF16" si="13">IF(ISNUMBER(BC16/BA16),BC16/BA16, " - ")</f>
        <v>0.16076294277929154</v>
      </c>
      <c r="BG16" s="196">
        <f t="shared" si="10"/>
        <v>2.673024523160763</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213</v>
      </c>
      <c r="J17" s="183">
        <v>126</v>
      </c>
      <c r="K17" s="183">
        <v>115</v>
      </c>
      <c r="L17" s="183">
        <v>224</v>
      </c>
      <c r="M17" s="183">
        <v>8</v>
      </c>
      <c r="N17" s="183">
        <v>76</v>
      </c>
      <c r="O17" s="183">
        <v>0</v>
      </c>
      <c r="P17" s="183">
        <v>5</v>
      </c>
      <c r="Q17" s="183">
        <v>6</v>
      </c>
      <c r="R17" s="183">
        <v>1</v>
      </c>
      <c r="S17" s="183">
        <v>107</v>
      </c>
      <c r="T17" s="183">
        <v>103</v>
      </c>
      <c r="U17" s="183">
        <v>87</v>
      </c>
      <c r="V17" s="183">
        <v>123</v>
      </c>
      <c r="W17" s="183">
        <v>23</v>
      </c>
      <c r="X17" s="189">
        <v>50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107</v>
      </c>
      <c r="AZ17" s="129">
        <f t="shared" si="14"/>
        <v>103</v>
      </c>
      <c r="BA17" s="129">
        <f t="shared" si="14"/>
        <v>87</v>
      </c>
      <c r="BB17" s="129">
        <f t="shared" si="14"/>
        <v>123</v>
      </c>
      <c r="BC17" s="125">
        <f>IF(ISNUMBER(W17),W17," - ")</f>
        <v>23</v>
      </c>
      <c r="BD17" s="126">
        <f>IF(ISNUMBER(BA17/AZ17),BA17/AZ17," - ")</f>
        <v>0.84466019417475724</v>
      </c>
      <c r="BE17" s="127">
        <f>IF(ISNUMBER(BB17/BA17),BB17/BA17, " - ")</f>
        <v>1.4137931034482758</v>
      </c>
      <c r="BF17" s="127">
        <f>IF(ISNUMBER(BC17/BA17),BC17/BA17, " - ")</f>
        <v>0.26436781609195403</v>
      </c>
      <c r="BG17" s="196">
        <f>IF(ISNUMBER((AY17+AZ17)/BA17),(AY17+AZ17)/BA17," - ")</f>
        <v>2.4137931034482758</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2350</v>
      </c>
      <c r="J18" s="184">
        <f t="shared" si="15"/>
        <v>1387</v>
      </c>
      <c r="K18" s="184">
        <f t="shared" si="15"/>
        <v>1437</v>
      </c>
      <c r="L18" s="184">
        <f t="shared" si="15"/>
        <v>2321</v>
      </c>
      <c r="M18" s="184">
        <f t="shared" si="15"/>
        <v>212</v>
      </c>
      <c r="N18" s="184">
        <f t="shared" si="15"/>
        <v>882</v>
      </c>
      <c r="O18" s="184">
        <f t="shared" si="15"/>
        <v>22</v>
      </c>
      <c r="P18" s="184">
        <f t="shared" si="15"/>
        <v>60</v>
      </c>
      <c r="Q18" s="184">
        <f t="shared" si="15"/>
        <v>40</v>
      </c>
      <c r="R18" s="184">
        <f t="shared" si="15"/>
        <v>243</v>
      </c>
      <c r="S18" s="184">
        <f t="shared" si="15"/>
        <v>1447</v>
      </c>
      <c r="T18" s="184">
        <f t="shared" si="15"/>
        <v>1363</v>
      </c>
      <c r="U18" s="184">
        <f t="shared" si="15"/>
        <v>1189</v>
      </c>
      <c r="V18" s="184">
        <f t="shared" si="15"/>
        <v>1619</v>
      </c>
      <c r="W18" s="184">
        <f t="shared" si="15"/>
        <v>160</v>
      </c>
      <c r="X18" s="184">
        <f t="shared" si="15"/>
        <v>769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1447</v>
      </c>
      <c r="AZ18" s="184">
        <f>SUBTOTAL(9,AZ14:AZ17)</f>
        <v>1363</v>
      </c>
      <c r="BA18" s="184">
        <f>SUBTOTAL(9,BA14:BA17)</f>
        <v>1189</v>
      </c>
      <c r="BB18" s="184">
        <f>SUBTOTAL(9,BB14:BB17)</f>
        <v>1619</v>
      </c>
      <c r="BC18" s="184">
        <f>SUBTOTAL(9,BC14:BC17)</f>
        <v>160</v>
      </c>
      <c r="BD18" s="205">
        <f>IF(ISNUMBER(BA18/AZ18),BA18/AZ18," - ")</f>
        <v>0.87234042553191493</v>
      </c>
      <c r="BE18" s="206">
        <f>IF(ISNUMBER(BB18/BA18),BB18/BA18, " - ")</f>
        <v>1.3616484440706476</v>
      </c>
      <c r="BF18" s="206">
        <f>IF(ISNUMBER(BC18/BA18),BC18/BA18, " - ")</f>
        <v>0.13456686291000841</v>
      </c>
      <c r="BG18" s="207">
        <f>IF(ISNUMBER((AY18+AZ18)/BA18),(AY18+AZ18)/BA18," - ")</f>
        <v>2.3633305298570226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5869</v>
      </c>
      <c r="J19" s="134">
        <f t="shared" si="18"/>
        <v>3951</v>
      </c>
      <c r="K19" s="134">
        <f t="shared" si="18"/>
        <v>3241</v>
      </c>
      <c r="L19" s="134">
        <f t="shared" si="18"/>
        <v>6600</v>
      </c>
      <c r="M19" s="134">
        <f t="shared" si="18"/>
        <v>819</v>
      </c>
      <c r="N19" s="134">
        <f t="shared" si="18"/>
        <v>1467</v>
      </c>
      <c r="O19" s="134">
        <f t="shared" si="18"/>
        <v>795</v>
      </c>
      <c r="P19" s="134">
        <f t="shared" si="18"/>
        <v>462</v>
      </c>
      <c r="Q19" s="134">
        <f t="shared" si="18"/>
        <v>267</v>
      </c>
      <c r="R19" s="134">
        <f t="shared" si="18"/>
        <v>6495</v>
      </c>
      <c r="S19" s="134">
        <f t="shared" si="18"/>
        <v>3733</v>
      </c>
      <c r="T19" s="134">
        <f t="shared" si="18"/>
        <v>2571</v>
      </c>
      <c r="U19" s="134">
        <f t="shared" si="18"/>
        <v>2675</v>
      </c>
      <c r="V19" s="134">
        <f t="shared" si="18"/>
        <v>3633</v>
      </c>
      <c r="W19" s="134">
        <f t="shared" si="18"/>
        <v>543</v>
      </c>
      <c r="X19" s="134">
        <f t="shared" si="18"/>
        <v>1295</v>
      </c>
      <c r="Y19" s="134">
        <f t="shared" si="18"/>
        <v>53</v>
      </c>
      <c r="Z19" s="134">
        <f t="shared" si="18"/>
        <v>108</v>
      </c>
      <c r="AA19" s="134">
        <f t="shared" si="18"/>
        <v>110</v>
      </c>
      <c r="AB19" s="134">
        <f t="shared" si="18"/>
        <v>51</v>
      </c>
      <c r="AC19" s="134">
        <f t="shared" si="18"/>
        <v>0</v>
      </c>
      <c r="AD19" s="134">
        <f t="shared" si="18"/>
        <v>0</v>
      </c>
      <c r="AE19" s="134">
        <f t="shared" si="18"/>
        <v>0</v>
      </c>
      <c r="AF19" s="134">
        <f t="shared" si="18"/>
        <v>0</v>
      </c>
      <c r="AG19" s="134">
        <f t="shared" si="18"/>
        <v>53</v>
      </c>
      <c r="AH19" s="134">
        <f t="shared" si="18"/>
        <v>104</v>
      </c>
      <c r="AI19" s="134">
        <f t="shared" si="18"/>
        <v>107</v>
      </c>
      <c r="AJ19" s="134">
        <f t="shared" si="18"/>
        <v>54</v>
      </c>
      <c r="AK19" s="134">
        <f t="shared" si="18"/>
        <v>0</v>
      </c>
      <c r="AL19" s="134">
        <f t="shared" si="18"/>
        <v>1</v>
      </c>
      <c r="AM19" s="134">
        <f t="shared" si="18"/>
        <v>1</v>
      </c>
      <c r="AN19" s="210">
        <f t="shared" si="18"/>
        <v>0</v>
      </c>
      <c r="AO19" s="211">
        <v>9</v>
      </c>
      <c r="AP19" s="211">
        <v>8</v>
      </c>
      <c r="AQ19" s="211">
        <v>8</v>
      </c>
      <c r="AR19" s="211">
        <v>8</v>
      </c>
      <c r="AS19" s="153">
        <f t="shared" si="18"/>
        <v>0</v>
      </c>
      <c r="AT19" s="153">
        <f t="shared" si="18"/>
        <v>0</v>
      </c>
      <c r="AU19" s="211"/>
      <c r="AV19" s="212"/>
      <c r="AW19" s="211"/>
      <c r="AX19" s="212"/>
      <c r="AY19" s="133">
        <f>SUBTOTAL(9,AY9:AY18)</f>
        <v>3786</v>
      </c>
      <c r="AZ19" s="134">
        <f>SUBTOTAL(9,AZ9:AZ18)</f>
        <v>2675</v>
      </c>
      <c r="BA19" s="134">
        <f>SUBTOTAL(9,BA9:BA18)</f>
        <v>2782</v>
      </c>
      <c r="BB19" s="134">
        <f>SUBTOTAL(9,BB9:BB18)</f>
        <v>3687</v>
      </c>
      <c r="BC19" s="135">
        <f>SUBTOTAL(9,BC9:BC18)</f>
        <v>686</v>
      </c>
      <c r="BD19" s="213">
        <f>IF(ISNUMBER(BA19/AZ19),BA19/AZ19," - ")</f>
        <v>1.04</v>
      </c>
      <c r="BE19" s="210">
        <f>IF(ISNUMBER(BB19/BA19),BB19/BA19, " - ")</f>
        <v>1.3253055355859094</v>
      </c>
      <c r="BF19" s="210">
        <f>IF(ISNUMBER(BC19/BA19),BC19/BA19, " - ")</f>
        <v>0.24658519051042416</v>
      </c>
      <c r="BG19" s="135">
        <f>IF(ISNUMBER((AY19+AZ19)/BA19),(AY19+AZ19)/BA19," - ")</f>
        <v>2.3224299065420562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qVqmFTP3sOJdd5ig+T5YfWUEHNyykTflVwh/Kc/BTUkDw6/4RORA8SkA6nYNHYd0onN4no0ge2yGb70Ck+Uyw==" saltValue="SGB1H6NcZVt09+v3WRoO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fqIVzUOXJ1HupETyxtYe96FSB3NMZQhrQOX0KGooutubpNilxuqh26A9Q0z34ZvJnu1BRzwrc305XhYnKqjZA==" saltValue="PjlWk3g/1OQb37bvs7v0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PONFERRADA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104</v>
      </c>
      <c r="O9" s="334"/>
      <c r="P9" s="334"/>
      <c r="Q9" s="226">
        <f>IF(ISNUMBER(Datos!P9),Datos!P9,0)</f>
        <v>398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51</v>
      </c>
      <c r="AI9" s="334" t="str">
        <f>IF(ISNUMBER(Datos!CD9),Datos!CD9,"-")</f>
        <v>-</v>
      </c>
      <c r="AJ9" s="334" t="str">
        <f>IF(ISNUMBER(Datos!EN9),Datos!EN9," - ")</f>
        <v xml:space="preserve"> - </v>
      </c>
      <c r="AK9" s="334"/>
      <c r="AL9" s="479"/>
      <c r="AM9" s="335">
        <f>IF(ISNUMBER(Datos!R9),Datos!R9," - ")</f>
        <v>4326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582</v>
      </c>
      <c r="BD9" s="229">
        <f>IF(ISNUMBER(Datos!N9),Datos!N9," - ")</f>
        <v>568</v>
      </c>
      <c r="BE9" s="229" t="str">
        <f>IF(ISNUMBER(Datos!BW9),Datos!BW9," - ")</f>
        <v xml:space="preserve"> - </v>
      </c>
      <c r="BF9" s="228" t="str">
        <f>IF(ISNUMBER(Datos!BX9),Datos!BX9," - ")</f>
        <v xml:space="preserve"> - </v>
      </c>
      <c r="BG9" s="243">
        <f>IF(ISNUMBER(IF(J_V="SI",Datos!K9/Datos!J9,(Datos!K9+Datos!AA9)/(Datos!J9+Datos!Z9))),IF(J_V="SI",Datos!K9/Datos!J9,(Datos!K9+Datos!AA9)/(Datos!J9+Datos!Z9))," - ")</f>
        <v>0.70394238059135705</v>
      </c>
      <c r="BH9" s="260">
        <f>IF(ISNUMBER(((IF(J_V="SI",Datos!L9/Datos!K9,(Datos!L9+Datos!AB9)/(Datos!K9+Datos!AA9)))*11)/factor_trimestre),((IF(J_V="SI",Datos!L9/Datos!K9,(Datos!L9+Datos!AB9)/(Datos!K9+Datos!AA9)))*11)/factor_trimestre," - ")</f>
        <v>6.8529886914378038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5.3067185978578381E-2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3</v>
      </c>
      <c r="AD10" s="334"/>
      <c r="AE10" s="484"/>
      <c r="AF10" s="332">
        <f>IF(ISNUMBER(Datos!L10),Datos!L10,"-")</f>
        <v>23</v>
      </c>
      <c r="AG10" s="334"/>
      <c r="AH10" s="334"/>
      <c r="AI10" s="334"/>
      <c r="AJ10" s="334"/>
      <c r="AK10" s="334"/>
      <c r="AL10" s="479"/>
      <c r="AM10" s="335">
        <f>IF(ISNUMBER(Datos!R10),Datos!R10," - ")</f>
        <v>45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2</v>
      </c>
      <c r="BE10" s="229" t="str">
        <f>IF(ISNUMBER(Datos!BW10),Datos!BW10," - ")</f>
        <v xml:space="preserve"> - </v>
      </c>
      <c r="BF10" s="228" t="str">
        <f>IF(ISNUMBER(Datos!BX10),Datos!BX10," - ")</f>
        <v xml:space="preserve"> - </v>
      </c>
      <c r="BG10" s="243">
        <f>IF(ISNUMBER(Datos!K10/Datos!J10),Datos!K10/Datos!J10," - ")</f>
        <v>1.0526315789473684</v>
      </c>
      <c r="BH10" s="260">
        <f>IF(ISNUMBER(((Datos!L10/Datos!K10)*11)/factor_trimestre),((Datos!L10/Datos!K10)*11)/factor_trimestre," - ")</f>
        <v>3.4499999999999997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2.2727272727272728E-2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1881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v>
      </c>
      <c r="BD12" s="229">
        <f>IF(ISNUMBER(Datos!N12),Datos!N12," - ")</f>
        <v>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2.4666666666666668</v>
      </c>
      <c r="BH12" s="260">
        <f>IF(ISNUMBER(((IF(J_V="SI",Datos!L12/Datos!K12,(Datos!L12+Datos!AB12)/(Datos!K12+Datos!AA12)))*11)/factor_trimestre),((IF(J_V="SI",Datos!L12/Datos!K12,(Datos!L12+Datos!AB12)/(Datos!K12+Datos!AA12)))*11)/factor_trimestre," - ")</f>
        <v>5.2702702702702711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-2.2857142857142857E-2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108</v>
      </c>
      <c r="O13" s="900">
        <f t="shared" si="0"/>
        <v>0</v>
      </c>
      <c r="P13" s="900">
        <f t="shared" si="0"/>
        <v>0</v>
      </c>
      <c r="Q13" s="899">
        <f t="shared" si="0"/>
        <v>402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227</v>
      </c>
      <c r="AD13" s="899">
        <f t="shared" si="1"/>
        <v>0</v>
      </c>
      <c r="AE13" s="899">
        <f t="shared" si="1"/>
        <v>0</v>
      </c>
      <c r="AF13" s="899">
        <f t="shared" si="1"/>
        <v>23</v>
      </c>
      <c r="AG13" s="899">
        <f t="shared" si="1"/>
        <v>0</v>
      </c>
      <c r="AH13" s="899">
        <f t="shared" si="1"/>
        <v>51</v>
      </c>
      <c r="AI13" s="899">
        <f t="shared" si="1"/>
        <v>0</v>
      </c>
      <c r="AJ13" s="899">
        <f t="shared" si="1"/>
        <v>0</v>
      </c>
      <c r="AK13" s="899">
        <f t="shared" si="1"/>
        <v>0</v>
      </c>
      <c r="AL13" s="899">
        <f t="shared" si="1"/>
        <v>0</v>
      </c>
      <c r="AM13" s="899">
        <f t="shared" si="1"/>
        <v>6252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607</v>
      </c>
      <c r="BD13" s="899">
        <f t="shared" si="1"/>
        <v>585</v>
      </c>
      <c r="BE13" s="899">
        <f t="shared" si="1"/>
        <v>0</v>
      </c>
      <c r="BF13" s="899">
        <f t="shared" si="1"/>
        <v>0</v>
      </c>
      <c r="BG13" s="899">
        <f>IF(ISNUMBER(Datos!K13/Datos!J13),Datos!K13/Datos!J13," - ")</f>
        <v>0.70358814352574106</v>
      </c>
      <c r="BH13" s="903">
        <f>IF(ISNUMBER(((Datos!L13/Datos!K13)*11)/factor_trimestre),((Datos!L13/Datos!K13)*11)/factor_trimestre," - ")</f>
        <v>7.1158536585365866</v>
      </c>
      <c r="BI13" s="899">
        <f>IF(ISNUMBER('Resol  Asuntos'!D13/NºAsuntos!G13),'Resol  Asuntos'!D13/NºAsuntos!G13," - ")</f>
        <v>0.31713688610240337</v>
      </c>
      <c r="BJ13" s="899" t="str">
        <f>IF(ISNUMBER(Datos!CI13/Datos!CJ13),Datos!CI13/Datos!CJ13," - ")</f>
        <v xml:space="preserve"> - </v>
      </c>
      <c r="BK13" s="899">
        <f>SUBTOTAL(9,BK8:BK12)</f>
        <v>0</v>
      </c>
      <c r="BL13" s="899">
        <f>IF(ISNUMBER((I13-AB13+L13)/(F13)),(I13-AB13+L13)/(F13)," - ")</f>
        <v>-0.83333333333333337</v>
      </c>
      <c r="BM13" s="904">
        <f>SUBTOTAL(9,BM9:BM12)</f>
        <v>5.2937315848708255E-2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1869</v>
      </c>
      <c r="G15" s="598">
        <f>IF(ISNUMBER(IF(D_I="SI",Datos!I15,Datos!I15+Datos!AC15)),IF(D_I="SI",Datos!I15,Datos!I15+Datos!AC15)," - ")</f>
        <v>1851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1280</v>
      </c>
      <c r="AC15" s="226">
        <f>IF(ISNUMBER(Datos!Q15),Datos!Q15," - ")</f>
        <v>28</v>
      </c>
      <c r="AD15" s="334"/>
      <c r="AE15" s="484"/>
      <c r="AF15" s="596">
        <f>IF(ISNUMBER(IF(D_I="SI",Datos!L15,Datos!L15+Datos!AF15)),IF(D_I="SI",Datos!L15,Datos!L15+Datos!AF15)," - ")</f>
        <v>1838</v>
      </c>
      <c r="AG15" s="334"/>
      <c r="AH15" s="334"/>
      <c r="AI15" s="334"/>
      <c r="AJ15" s="334"/>
      <c r="AK15" s="334"/>
      <c r="AL15" s="479"/>
      <c r="AM15" s="335">
        <f>IF(ISNUMBER(Datos!R15),Datos!R15," - ")</f>
        <v>242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197</v>
      </c>
      <c r="BD15" s="229">
        <f>IF(ISNUMBER(Datos!N15),Datos!N15," - ")</f>
        <v>796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1.0248198558847077</v>
      </c>
      <c r="BH15" s="260">
        <f>IF(ISNUMBER(((IF(D_I="SI",Datos!L15/Datos!K15,(Datos!L15+Datos!AF15)/(Datos!K15+Datos!AE15)))*11)/factor_trimestre),((IF(D_I="SI",Datos!L15/Datos!K15,(Datos!L15+Datos!AF15)/(Datos!K15+Datos!AE15)))*11)/factor_trimestre," - ")</f>
        <v>4.3078125000000007</v>
      </c>
      <c r="BI15" s="243">
        <f>IF(ISNUMBER('Resol  Asuntos'!D15/NºAsuntos!G15),'Resol  Asuntos'!D15/NºAsuntos!G15," - ")</f>
        <v>0.15390624999999999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289</v>
      </c>
      <c r="G16" s="598">
        <f>IF(ISNUMBER(IF(D_I="SI",Datos!I16,Datos!I16+Datos!AC16)),IF(D_I="SI",Datos!I16,Datos!I16+Datos!AC16)," - ")</f>
        <v>286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v>
      </c>
      <c r="AC16" s="226">
        <f>IF(ISNUMBER(Datos!Q16),Datos!Q16," - ")</f>
        <v>6</v>
      </c>
      <c r="AD16" s="334"/>
      <c r="AE16" s="484"/>
      <c r="AF16" s="596">
        <f>IF(ISNUMBER(IF(D_I="SI",Datos!L16,Datos!L16+Datos!AF16)),IF(D_I="SI",Datos!L16,Datos!L16+Datos!AF16)," - ")</f>
        <v>259</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v>
      </c>
      <c r="BD16" s="229">
        <f>IF(ISNUMBER(Datos!N16),Datos!N16," - ")</f>
        <v>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3.5</v>
      </c>
      <c r="BH16" s="260">
        <f>IF(ISNUMBER(((IF(D_I="SI",Datos!L16/Datos!K16,(Datos!L16+Datos!AF16)/(Datos!K16+Datos!AE16)))*11)/factor_trimestre),((IF(D_I="SI",Datos!L16/Datos!K16,(Datos!L16+Datos!AF16)/(Datos!K16+Datos!AE16)))*11)/factor_trimestre," - ")</f>
        <v>18.500000000000004</v>
      </c>
      <c r="BI16" s="243">
        <f>IF(ISNUMBER('Resol  Asuntos'!D16/NºAsuntos!G16),'Resol  Asuntos'!D16/NºAsuntos!G16," - ")</f>
        <v>0.16666666666666666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115</v>
      </c>
      <c r="AC17" s="226">
        <f>IF(ISNUMBER(Datos!Q17),Datos!Q17," - ")</f>
        <v>6</v>
      </c>
      <c r="AD17" s="334"/>
      <c r="AE17" s="484"/>
      <c r="AF17" s="332">
        <f>IF(ISNUMBER(Datos!L17),Datos!L17,"-")</f>
        <v>224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0.91269841269841268</v>
      </c>
      <c r="BH17" s="260">
        <f>IF(ISNUMBER(((IF(D_I="SI",Datos!L17/Datos!K17,(Datos!L17+Datos!AF17)/(Datos!K17+Datos!AE17)))*11)/factor_trimestre),((IF(D_I="SI",Datos!L17/Datos!K17,(Datos!L17+Datos!AF17)/(Datos!K17+Datos!AE17)))*11)/factor_trimestre," - ")</f>
        <v>5.8434782608695652</v>
      </c>
      <c r="BI17" s="243">
        <f>IF(ISNUMBER('Resol  Asuntos'!D17/NºAsuntos!G17),'Resol  Asuntos'!D17/NºAsuntos!G17," - ")</f>
        <v>6.9565217391304349E-2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2158</v>
      </c>
      <c r="G18" s="898">
        <f>SUBTOTAL(9,G15:G17)</f>
        <v>2350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1437</v>
      </c>
      <c r="AC18" s="899">
        <f t="shared" si="4"/>
        <v>40</v>
      </c>
      <c r="AD18" s="899">
        <f t="shared" si="4"/>
        <v>0</v>
      </c>
      <c r="AE18" s="899">
        <f t="shared" si="4"/>
        <v>0</v>
      </c>
      <c r="AF18" s="899">
        <f t="shared" si="4"/>
        <v>2321</v>
      </c>
      <c r="AG18" s="899">
        <f t="shared" si="4"/>
        <v>0</v>
      </c>
      <c r="AH18" s="899">
        <f t="shared" si="4"/>
        <v>0</v>
      </c>
      <c r="AI18" s="899">
        <f t="shared" si="4"/>
        <v>0</v>
      </c>
      <c r="AJ18" s="899">
        <f t="shared" si="4"/>
        <v>0</v>
      </c>
      <c r="AK18" s="899">
        <f t="shared" si="4"/>
        <v>0</v>
      </c>
      <c r="AL18" s="899">
        <f t="shared" si="4"/>
        <v>0</v>
      </c>
      <c r="AM18" s="899">
        <f t="shared" si="4"/>
        <v>243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212</v>
      </c>
      <c r="BD18" s="899">
        <f t="shared" si="4"/>
        <v>882</v>
      </c>
      <c r="BE18" s="899">
        <f t="shared" si="4"/>
        <v>0</v>
      </c>
      <c r="BF18" s="899">
        <f t="shared" si="4"/>
        <v>0</v>
      </c>
      <c r="BG18" s="899">
        <f>IF(ISNUMBER(Datos!K18/Datos!J18),Datos!K18/Datos!J18," - ")</f>
        <v>1.0360490266762798</v>
      </c>
      <c r="BH18" s="903">
        <f>IF(ISNUMBER(((Datos!L18/Datos!K18)*11)/factor_trimestre),((Datos!L18/Datos!K18)*11)/factor_trimestre," - ")</f>
        <v>4.8455114822546976</v>
      </c>
      <c r="BI18" s="899">
        <f>SUBTOTAL(9,BI15:BI17)</f>
        <v>0.39013813405797099</v>
      </c>
      <c r="BJ18" s="899">
        <f>SUBTOTAL(9,BJ15:BJ17)</f>
        <v>0</v>
      </c>
      <c r="BK18" s="899">
        <f>SUBTOTAL(9,BK15:BK17)</f>
        <v>0</v>
      </c>
      <c r="BL18" s="899">
        <f>IF(ISNUMBER((I18-AB18+L18)/(F18)),(I18-AB18+L18)/(F18)," - ")</f>
        <v>-0.66589434661723823</v>
      </c>
      <c r="BM18" s="905">
        <f>IF(ISNUMBER((Datos!P18-Datos!Q18)/(Datos!R18-Datos!P18+Datos!Q18)),(Datos!P18-Datos!Q18)/(Datos!R18-Datos!P18+Datos!Q18)," - ")</f>
        <v>8.9686098654708515E-2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2182</v>
      </c>
      <c r="G19" s="820">
        <f t="shared" si="6"/>
        <v>2374</v>
      </c>
      <c r="H19" s="822">
        <f t="shared" si="6"/>
        <v>0</v>
      </c>
      <c r="I19" s="820">
        <f t="shared" si="6"/>
        <v>0</v>
      </c>
      <c r="J19" s="822">
        <f t="shared" si="6"/>
        <v>0</v>
      </c>
      <c r="K19" s="822">
        <f t="shared" si="6"/>
        <v>0</v>
      </c>
      <c r="L19" s="881">
        <f t="shared" si="6"/>
        <v>0</v>
      </c>
      <c r="M19" s="881">
        <f t="shared" si="6"/>
        <v>0</v>
      </c>
      <c r="N19" s="881">
        <f t="shared" si="6"/>
        <v>108</v>
      </c>
      <c r="O19" s="881">
        <f t="shared" si="6"/>
        <v>0</v>
      </c>
      <c r="P19" s="881">
        <f t="shared" si="6"/>
        <v>0</v>
      </c>
      <c r="Q19" s="822">
        <f t="shared" si="6"/>
        <v>462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1457</v>
      </c>
      <c r="AC19" s="821">
        <f t="shared" si="7"/>
        <v>267</v>
      </c>
      <c r="AD19" s="821">
        <f t="shared" si="7"/>
        <v>0</v>
      </c>
      <c r="AE19" s="821">
        <f t="shared" si="7"/>
        <v>0</v>
      </c>
      <c r="AF19" s="828">
        <f t="shared" si="7"/>
        <v>2344</v>
      </c>
      <c r="AG19" s="828">
        <f t="shared" si="7"/>
        <v>0</v>
      </c>
      <c r="AH19" s="828">
        <f t="shared" si="7"/>
        <v>51</v>
      </c>
      <c r="AI19" s="828">
        <f t="shared" si="7"/>
        <v>0</v>
      </c>
      <c r="AJ19" s="821">
        <f t="shared" si="7"/>
        <v>0</v>
      </c>
      <c r="AK19" s="828">
        <f t="shared" si="7"/>
        <v>0</v>
      </c>
      <c r="AL19" s="828">
        <f t="shared" si="7"/>
        <v>0</v>
      </c>
      <c r="AM19" s="828">
        <f t="shared" si="7"/>
        <v>6495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819</v>
      </c>
      <c r="BD19" s="820">
        <f t="shared" si="7"/>
        <v>1467</v>
      </c>
      <c r="BE19" s="820">
        <f t="shared" si="7"/>
        <v>0</v>
      </c>
      <c r="BF19" s="830">
        <f t="shared" si="7"/>
        <v>0</v>
      </c>
      <c r="BG19" s="915">
        <f>IF(ISNUMBER(Datos!K19/Datos!J19),Datos!K19/Datos!J19," - ")</f>
        <v>0.82029865856745132</v>
      </c>
      <c r="BH19" s="915">
        <f>IF(ISNUMBER(((Datos!L19/Datos!K19)*11)/factor_trimestre),((Datos!L19/Datos!K19)*11)/factor_trimestre," - ")</f>
        <v>6.1092255476704729</v>
      </c>
      <c r="BI19" s="813">
        <f>IF(ISNUMBER(Datos!J19/Datos!I19),Datos!J19/Datos!I19," - ")</f>
        <v>0.67319815982279774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-0.66773602199816684</v>
      </c>
      <c r="BM19" s="889">
        <f>IF(ISNUMBER((Datos!P19-Datos!Q19+R19)/(Datos!R19-Datos!P19+Datos!Q19-R19)),(Datos!P19-Datos!Q19+R19)/(Datos!R19-Datos!P19+Datos!Q19-R19)," - ")</f>
        <v>3.0952380952380953E-2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791.33333333333337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2.2236106773543889</v>
      </c>
      <c r="F21" s="551">
        <f>IF(ISNUMBER(STDEV(F8:F18)),STDEV(F8:F18),"-")</f>
        <v>1051.8910114645907</v>
      </c>
      <c r="G21" s="552">
        <f>IF(ISNUMBER(STDEV(G8:G18)),STDEV(G8:G18),"-")</f>
        <v>1031.4812003457293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678.81151041114981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255.22301172559992</v>
      </c>
      <c r="BD21" s="551"/>
      <c r="BE21" s="551">
        <f>IF(ISNUMBER(STDEV(BE8:BE18)),STDEV(BE8:BE18),"-")</f>
        <v>0</v>
      </c>
      <c r="BF21" s="556">
        <f>IF(ISNUMBER(STDEV(BF8:BF18)),STDEV(BF8:BF18),"-")</f>
        <v>0</v>
      </c>
      <c r="BG21" s="775">
        <f>IF(ISNUMBER(STDEV(BG8:BG18)),STDEV(BG8:BG18),"-")</f>
        <v>1.0102044875559644</v>
      </c>
      <c r="BH21" s="776">
        <f>IF(ISNUMBER(STDEV(BH8:BH18)),STDEV(BH8:BH18),"-")</f>
        <v>4.797356647634694</v>
      </c>
      <c r="BI21" s="249">
        <f>IF(ISNUMBER(STDEV(BI8:BI18)),STDEV(BI8:BI18),"-")</f>
        <v>0.1305992658863481</v>
      </c>
      <c r="BJ21" s="230" t="str">
        <f>IF(ISNUMBER(BL21/BM21),BL21/BM21," - ")</f>
        <v xml:space="preserve"> - </v>
      </c>
      <c r="BK21" s="575"/>
      <c r="BL21" s="559">
        <f>IF(ISNUMBER(STDEV(BL8:BL18)),STDEV(BL8:BL18),"-")</f>
        <v>0.11839724294195486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jmNkuDYrjCazzIUAE5r91MOqTMDnbRiFmVEPbo0xLaZR+DUbQ2UaQui4pQOFraWW6eGStcC48z6beSzfllU6w==" saltValue="Rp8RnoxZrQVX1/txo5Ab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PONFERRADA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398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180</v>
      </c>
      <c r="AA9" s="332" t="str">
        <f>IF(ISNUMBER(IF(J_V="SI",Datos!L9,Datos!L9+Datos!AB9)-IF(Monitorios="SI",Datos!CD9,0)),
                          IF(J_V="SI",Datos!L9,Datos!L9+Datos!AB9)-IF(Monitorios="SI",Datos!CD9,0),
                          " - ")</f>
        <v xml:space="preserve"> - </v>
      </c>
      <c r="AB9" s="334"/>
      <c r="AC9" s="334"/>
      <c r="AD9" s="484"/>
      <c r="AE9" s="484">
        <f>IF(ISNUMBER(Datos!R9),Datos!R9," - ")</f>
        <v>4326</v>
      </c>
      <c r="AF9" s="229" t="str">
        <f>IF(ISNUMBER(Datos!BV9),Datos!BV9," - ")</f>
        <v xml:space="preserve"> - </v>
      </c>
      <c r="AG9" s="225" t="str">
        <f>IF(ISNUMBER(Datos!DV9),Datos!DV9," - ")</f>
        <v xml:space="preserve"> - </v>
      </c>
      <c r="AH9" s="298"/>
      <c r="AI9" s="227"/>
      <c r="AJ9" s="225">
        <f>IF(ISNUMBER(Datos!M9),Datos!M9," - ")</f>
        <v>582</v>
      </c>
      <c r="AK9" s="229">
        <f>IF(ISNUMBER(Datos!N9),Datos!N9," - ")</f>
        <v>568</v>
      </c>
      <c r="AL9" s="229" t="str">
        <f>IF(ISNUMBER(Datos!BW9),Datos!BW9," - ")</f>
        <v xml:space="preserve"> - </v>
      </c>
      <c r="AM9" s="228" t="str">
        <f>IF(ISNUMBER(Datos!BX9),Datos!BX9," - ")</f>
        <v xml:space="preserve"> - </v>
      </c>
      <c r="AN9" s="243"/>
      <c r="AO9" s="260">
        <f>IF(ISNUMBER(((NºAsuntos!I9/NºAsuntos!G9)*11)/factor_trimestre),((NºAsuntos!I9/NºAsuntos!G9)*11)/factor_trimestre," - ")</f>
        <v>6.8529886914378038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5.3067185978578381E-2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3</v>
      </c>
      <c r="AA10" s="332">
        <f>IF(ISNUMBER(Datos!L10),Datos!L10,"-")</f>
        <v>23</v>
      </c>
      <c r="AB10" s="334"/>
      <c r="AC10" s="334"/>
      <c r="AD10" s="484"/>
      <c r="AE10" s="484">
        <f>IF(ISNUMBER(Datos!R10),Datos!R10," - ")</f>
        <v>45</v>
      </c>
      <c r="AF10" s="229" t="str">
        <f>IF(ISNUMBER(Datos!BV10),Datos!BV10," - ")</f>
        <v xml:space="preserve"> - </v>
      </c>
      <c r="AG10" s="225" t="str">
        <f>IF(ISNUMBER(Datos!DV10),Datos!DV10," - ")</f>
        <v xml:space="preserve"> - </v>
      </c>
      <c r="AH10" s="298"/>
      <c r="AI10" s="227"/>
      <c r="AJ10" s="225">
        <f>IF(ISNUMBER(Datos!M10),Datos!M10," - ")</f>
        <v>13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3.4499999999999997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2.2727272727272728E-2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v>
      </c>
      <c r="AA12" s="332" t="str">
        <f>IF(ISNUMBER(IF(J_V="SI",Datos!L12,Datos!L12+Datos!AB12)-IF(Monitorios="SI",Datos!CD12,0)),
                          IF(J_V="SI",Datos!L12,Datos!L12+Datos!AB12)-IF(Monitorios="SI",Datos!CD12,0),
                          " - ")</f>
        <v xml:space="preserve"> - </v>
      </c>
      <c r="AB12" s="334"/>
      <c r="AC12" s="334"/>
      <c r="AD12" s="484"/>
      <c r="AE12" s="484">
        <f>IF(ISNUMBER(Datos!R12),Datos!R12," - ")</f>
        <v>1881</v>
      </c>
      <c r="AF12" s="229" t="str">
        <f>IF(ISNUMBER(Datos!BV12),Datos!BV12," - ")</f>
        <v xml:space="preserve"> - </v>
      </c>
      <c r="AG12" s="225" t="str">
        <f>IF(ISNUMBER(Datos!DV12),Datos!DV12," - ")</f>
        <v xml:space="preserve"> - </v>
      </c>
      <c r="AH12" s="298"/>
      <c r="AI12" s="227"/>
      <c r="AJ12" s="225">
        <f>IF(ISNUMBER(Datos!M12),Datos!M12," - ")</f>
        <v>12</v>
      </c>
      <c r="AK12" s="229">
        <f>IF(ISNUMBER(Datos!N12),Datos!N12," - ")</f>
        <v>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5.2702702702702711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-2.2857142857142857E-2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402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227</v>
      </c>
      <c r="AA13" s="900">
        <f t="shared" si="2"/>
        <v>23</v>
      </c>
      <c r="AB13" s="900">
        <f t="shared" si="2"/>
        <v>0</v>
      </c>
      <c r="AC13" s="900">
        <f t="shared" si="2"/>
        <v>0</v>
      </c>
      <c r="AD13" s="900">
        <f t="shared" si="2"/>
        <v>0</v>
      </c>
      <c r="AE13" s="900">
        <f t="shared" si="2"/>
        <v>6252</v>
      </c>
      <c r="AF13" s="908">
        <f t="shared" si="2"/>
        <v>0</v>
      </c>
      <c r="AG13" s="908">
        <f t="shared" si="2"/>
        <v>0</v>
      </c>
      <c r="AH13" s="908">
        <f t="shared" si="2"/>
        <v>0</v>
      </c>
      <c r="AI13" s="908">
        <f t="shared" si="2"/>
        <v>0</v>
      </c>
      <c r="AJ13" s="908">
        <f t="shared" si="2"/>
        <v>607</v>
      </c>
      <c r="AK13" s="908">
        <f t="shared" si="2"/>
        <v>585</v>
      </c>
      <c r="AL13" s="908">
        <f t="shared" si="2"/>
        <v>0</v>
      </c>
      <c r="AM13" s="908">
        <f t="shared" si="2"/>
        <v>0</v>
      </c>
      <c r="AN13" s="908">
        <f t="shared" si="2"/>
        <v>0</v>
      </c>
      <c r="AO13" s="904">
        <f>IF(ISNUMBER(((NºAsuntos!I13/NºAsuntos!G13)*11)/factor_trimestre),((NºAsuntos!I13/NºAsuntos!G13)*11)/factor_trimestre," - ")</f>
        <v>6.7868338557993733</v>
      </c>
      <c r="AP13" s="910" t="str">
        <f>IF(ISNUMBER(Datos!CI13/Datos!CJ13),Datos!CI13/Datos!CJ13," - ")</f>
        <v xml:space="preserve"> - </v>
      </c>
      <c r="AQ13" s="928">
        <f t="shared" ref="AQ13:AV13" si="3">SUBTOTAL(9,AQ9:AQ12)</f>
        <v>0</v>
      </c>
      <c r="AR13" s="928">
        <f t="shared" si="3"/>
        <v>5.2937315848708255E-2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1869</v>
      </c>
      <c r="G15" s="225">
        <f>IF(ISNUMBER(IF(D_I="SI",Datos!I15,Datos!I15+Datos!AC15)),IF(D_I="SI",Datos!I15,Datos!I15+Datos!AC15)," - ")</f>
        <v>1851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1280</v>
      </c>
      <c r="Z15" s="619">
        <f>IF(ISNUMBER(Datos!Q15),Datos!Q15," - ")</f>
        <v>28</v>
      </c>
      <c r="AA15" s="332">
        <f>IF(ISNUMBER(IF(D_I="SI",Datos!L15,Datos!L15+Datos!AF15)),IF(D_I="SI",Datos!L15,Datos!L15+Datos!AF15)," - ")</f>
        <v>1838</v>
      </c>
      <c r="AB15" s="334"/>
      <c r="AC15" s="334"/>
      <c r="AD15" s="484"/>
      <c r="AE15" s="484">
        <f>IF(ISNUMBER(Datos!R15),Datos!R15," - ")</f>
        <v>242</v>
      </c>
      <c r="AF15" s="229" t="str">
        <f>IF(ISNUMBER(Datos!BV15),Datos!BV15," - ")</f>
        <v xml:space="preserve"> - </v>
      </c>
      <c r="AG15" s="225"/>
      <c r="AH15" s="298"/>
      <c r="AI15" s="227"/>
      <c r="AJ15" s="225">
        <f>IF(ISNUMBER(Datos!M15),Datos!M15," - ")</f>
        <v>197</v>
      </c>
      <c r="AK15" s="229">
        <f>IF(ISNUMBER(Datos!N15),Datos!N15," - ")</f>
        <v>796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4.3078125000000007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289</v>
      </c>
      <c r="G16" s="225">
        <f>IF(ISNUMBER(IF(D_I="SI",Datos!I16,Datos!I16+Datos!AC16)),IF(D_I="SI",Datos!I16,Datos!I16+Datos!AC16)," - ")</f>
        <v>286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v>
      </c>
      <c r="Z16" s="619">
        <f>IF(ISNUMBER(Datos!Q16),Datos!Q16," - ")</f>
        <v>6</v>
      </c>
      <c r="AA16" s="332">
        <f>IF(ISNUMBER(IF(D_I="SI",Datos!L16,Datos!L16+Datos!AF16)),IF(D_I="SI",Datos!L16,Datos!L16+Datos!AF16)," - ")</f>
        <v>259</v>
      </c>
      <c r="AB16" s="334"/>
      <c r="AC16" s="334"/>
      <c r="AD16" s="484"/>
      <c r="AE16" s="484">
        <f>IF(ISNUMBER(Datos!R16),Datos!R16," - ")</f>
        <v>0</v>
      </c>
      <c r="AF16" s="229" t="str">
        <f>IF(ISNUMBER(Datos!BV16),Datos!BV16," - ")</f>
        <v xml:space="preserve"> - </v>
      </c>
      <c r="AG16" s="225"/>
      <c r="AH16" s="298"/>
      <c r="AI16" s="227"/>
      <c r="AJ16" s="225">
        <f>IF(ISNUMBER(Datos!M16),Datos!M16," - ")</f>
        <v>7</v>
      </c>
      <c r="AK16" s="229">
        <f>IF(ISNUMBER(Datos!N16),Datos!N16," - ")</f>
        <v>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18.500000000000004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115</v>
      </c>
      <c r="Z17" s="619">
        <f>IF(ISNUMBER(Datos!Q17),Datos!Q17," - ")</f>
        <v>6</v>
      </c>
      <c r="AA17" s="332">
        <f>IF(ISNUMBER(Datos!L17),Datos!L17,"-")</f>
        <v>224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8</v>
      </c>
      <c r="AK17" s="229">
        <f>IF(ISNUMBER(Datos!N17),Datos!N17," - ")</f>
        <v>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5.8434782608695652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2158</v>
      </c>
      <c r="G18" s="898">
        <f>SUBTOTAL(9,G15:G17)</f>
        <v>2350</v>
      </c>
      <c r="H18" s="932">
        <f>SUBTOTAL(9,H15:H17)</f>
        <v>0</v>
      </c>
      <c r="I18" s="911">
        <f>SUBTOTAL(9,I15:I17)</f>
        <v>0</v>
      </c>
      <c r="J18" s="867">
        <f>SUBTOTAL(9,J14:J17)</f>
        <v>0</v>
      </c>
      <c r="K18" s="932">
        <f t="shared" ref="K18:S18" si="4">SUBTOTAL(9,K15:K17)</f>
        <v>0</v>
      </c>
      <c r="L18" s="932">
        <f t="shared" si="4"/>
        <v>0</v>
      </c>
      <c r="M18" s="932">
        <f t="shared" si="4"/>
        <v>0</v>
      </c>
      <c r="N18" s="932">
        <f t="shared" si="4"/>
        <v>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1437</v>
      </c>
      <c r="Z18" s="932">
        <f t="shared" si="5"/>
        <v>40</v>
      </c>
      <c r="AA18" s="932">
        <f t="shared" si="5"/>
        <v>2321</v>
      </c>
      <c r="AB18" s="932">
        <f t="shared" si="5"/>
        <v>0</v>
      </c>
      <c r="AC18" s="932">
        <f t="shared" si="5"/>
        <v>0</v>
      </c>
      <c r="AD18" s="932">
        <f t="shared" si="5"/>
        <v>0</v>
      </c>
      <c r="AE18" s="932">
        <f t="shared" si="5"/>
        <v>243</v>
      </c>
      <c r="AF18" s="932">
        <f t="shared" si="5"/>
        <v>0</v>
      </c>
      <c r="AG18" s="932">
        <f t="shared" si="5"/>
        <v>0</v>
      </c>
      <c r="AH18" s="932">
        <f t="shared" si="5"/>
        <v>0</v>
      </c>
      <c r="AI18" s="932">
        <f t="shared" si="5"/>
        <v>0</v>
      </c>
      <c r="AJ18" s="932">
        <f t="shared" si="5"/>
        <v>212</v>
      </c>
      <c r="AK18" s="932">
        <f t="shared" si="5"/>
        <v>882</v>
      </c>
      <c r="AL18" s="932">
        <f t="shared" si="5"/>
        <v>0</v>
      </c>
      <c r="AM18" s="932">
        <f t="shared" si="5"/>
        <v>0</v>
      </c>
      <c r="AN18" s="932">
        <f t="shared" si="5"/>
        <v>0</v>
      </c>
      <c r="AO18" s="934">
        <f>IF(ISNUMBER(((NºAsuntos!I18/NºAsuntos!G18)*11)/factor_trimestre),((NºAsuntos!I18/NºAsuntos!G18)*11)/factor_trimestre," - ")</f>
        <v>4.8455114822546976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2182</v>
      </c>
      <c r="G19" s="820">
        <f t="shared" si="7"/>
        <v>2374</v>
      </c>
      <c r="H19" s="821">
        <f t="shared" si="7"/>
        <v>0</v>
      </c>
      <c r="I19" s="820">
        <f t="shared" si="7"/>
        <v>0</v>
      </c>
      <c r="J19" s="822">
        <f t="shared" si="7"/>
        <v>0</v>
      </c>
      <c r="K19" s="820">
        <f t="shared" si="7"/>
        <v>0</v>
      </c>
      <c r="L19" s="823">
        <f t="shared" si="7"/>
        <v>0</v>
      </c>
      <c r="M19" s="820">
        <f t="shared" si="7"/>
        <v>0</v>
      </c>
      <c r="N19" s="821">
        <f t="shared" si="7"/>
        <v>462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1457</v>
      </c>
      <c r="Z19" s="827">
        <f t="shared" si="8"/>
        <v>267</v>
      </c>
      <c r="AA19" s="828">
        <f t="shared" si="8"/>
        <v>2344</v>
      </c>
      <c r="AB19" s="828">
        <f t="shared" si="8"/>
        <v>0</v>
      </c>
      <c r="AC19" s="828">
        <f t="shared" si="8"/>
        <v>0</v>
      </c>
      <c r="AD19" s="829">
        <f t="shared" si="8"/>
        <v>0</v>
      </c>
      <c r="AE19" s="829">
        <f t="shared" si="8"/>
        <v>6495</v>
      </c>
      <c r="AF19" s="830">
        <f t="shared" si="8"/>
        <v>0</v>
      </c>
      <c r="AG19" s="831">
        <f t="shared" si="8"/>
        <v>0</v>
      </c>
      <c r="AH19" s="832">
        <f t="shared" si="8"/>
        <v>0</v>
      </c>
      <c r="AI19" s="830">
        <f t="shared" si="8"/>
        <v>0</v>
      </c>
      <c r="AJ19" s="820">
        <f t="shared" si="8"/>
        <v>819</v>
      </c>
      <c r="AK19" s="820">
        <f t="shared" si="8"/>
        <v>1467</v>
      </c>
      <c r="AL19" s="820">
        <f t="shared" si="8"/>
        <v>0</v>
      </c>
      <c r="AM19" s="833">
        <f t="shared" si="8"/>
        <v>0</v>
      </c>
      <c r="AN19" s="823">
        <f>IF(ISNUMBER(Datos!K19/Datos!J19),Datos!K19/Datos!J19," - ")</f>
        <v>0.82029865856745132</v>
      </c>
      <c r="AO19" s="823">
        <f>IF(ISNUMBER(FIND("06",Criterios!A8,1)),(IF(ISNUMBER(((Datos!R19/Datos!Q19)*11)/factor_trimestre),((Datos!R19/Datos!Q19)*11)/factor_trimestre," - ")),(IF(ISNUMBER(((Datos!L19/Datos!K19)*11)/factor_trimestre),((Datos!L19/Datos!K19)*11)/factor_trimestre," - ")))</f>
        <v>6.1092255476704729</v>
      </c>
      <c r="AP19" s="834" t="str">
        <f>IF(ISNUMBER(Datos!CI19/Datos!CJ19),Datos!CI19/Datos!CJ19," - ")</f>
        <v xml:space="preserve"> - </v>
      </c>
      <c r="AQ19" s="834">
        <f>IF(OR(ISNUMBER(FIND("01",Criterios!A8,1)),ISNUMBER(FIND("02",Criterios!A8,1)),ISNUMBER(FIND("03",Criterios!A8,1)),ISNUMBER(FIND("04",Criterios!A8,1))),(J19-Y19+K19)/(F19-K19),(I19-Y19+K19)/(F19-K19))</f>
        <v>-0.66773602199816684</v>
      </c>
      <c r="AR19" s="834">
        <f>IF(ISNUMBER((Datos!P19-Datos!Q19+O19)/(Datos!R19-Datos!P19+Datos!Q19-O19)),(Datos!P19-Datos!Q19+O19)/(Datos!R19-Datos!P19+Datos!Q19-O19)," - ")</f>
        <v>3.0952380952380953E-2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791.33333333333337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1051.8910114645907</v>
      </c>
      <c r="G21" s="552">
        <f>IF(ISNUMBER(STDEV(G8:G18)),STDEV(G8:G18),"-")</f>
        <v>1031.4812003457293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255.22301172559992</v>
      </c>
      <c r="AK21" s="252"/>
      <c r="AL21" s="252">
        <f>IF(ISNUMBER(STDEV(AL8:AL18)),STDEV(AL8:AL18),"-")</f>
        <v>0</v>
      </c>
      <c r="AM21" s="254">
        <f>IF(ISNUMBER(STDEV(AM8:AM18)),STDEV(AM8:AM18),"-")</f>
        <v>0</v>
      </c>
      <c r="AN21" s="539">
        <f>IF(ISNUMBER(STDEV(AN8:AN18)),STDEV(AN8:AN18),"-")</f>
        <v>0</v>
      </c>
      <c r="AO21" s="540">
        <f>IF(ISNUMBER(STDEV(AO8:AO18)),STDEV(AO8:AO18),"-")</f>
        <v>4.7978595529846793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Mr7Hbp8q5pCgr3ncpUfz+CVdTh+bghLLBzWW97YRq+j/qB8T+dElh2ZrbHhYsyzzbZ5QPslkoHmkwhKb3FAQQ==" saltValue="NxHfDLcXY5cYFGq5+H0K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q52xFjV2ejxxGyzf+tXecQnRDuKuXDFdQVxrlqTDbAxMmHM7hOHuIOm/eYISIKItzixPiZsIav3PpFeI7gL2w==" saltValue="HE9XIj8LEfQcz7mjzWJs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SNmS8e+j8aVA7Nf21G5bfM4/hFLE7UUkxZyq1DBzdsgKqwsfNeKC9EHEV8/FbILE9KDiQKRsPb6eXKNcXA2hw==" saltValue="/qietMVTOuqy2miAMwTC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PONFERRADA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0.31713688610240337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0.22424964272739517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x99LWGf1SRunFXqFyFLEbeiGWWV28Jp+7kr46bG5KgSsM6PB8XobnCS7qJ28wwQac5pqzApmxOK3qrbgl3pag==" saltValue="UAgxC5+/H/S9pQJ2lyF6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38FXvulVUDqz0eETpjlOAujwT1HEtn6xNgP9ecfI9CiJ0hgXdXYhav81ftR/vgX6sn+7jHWTz7rlHPc3RyLG9w==" saltValue="OdB/YBYwjA2NXtS1plPY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PONFERRADA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3461</v>
      </c>
      <c r="D9" s="404">
        <f>IF(ISNUMBER(C9/Datos!BH9),C9/Datos!BH9," - ")</f>
        <v>692.2</v>
      </c>
      <c r="E9" s="403">
        <f>IF(ISNUMBER(IF(J_V="SI",Datos!J9,Datos!J9+Datos!Z9)),IF(J_V="SI",Datos!J9,Datos!J9+Datos!Z9)," - ")</f>
        <v>2638</v>
      </c>
      <c r="F9" s="404">
        <f>IF(ISNUMBER(E9/B9),E9/B9," - ")</f>
        <v>527.6</v>
      </c>
      <c r="G9" s="403">
        <f>IF(ISNUMBER(IF(J_V="SI",Datos!K9,Datos!K9+Datos!AA9)),IF(J_V="SI",Datos!K9,Datos!K9+Datos!AA9)," - ")</f>
        <v>1857</v>
      </c>
      <c r="H9" s="404">
        <f>IF(ISNUMBER(G9/B9),G9/B9," - ")</f>
        <v>371.4</v>
      </c>
      <c r="I9" s="403">
        <f>IF(ISNUMBER(IF(J_V="SI",Datos!L9,Datos!L9+Datos!AB9)),IF(J_V="SI",Datos!L9,Datos!L9+Datos!AB9)," - ")</f>
        <v>4242</v>
      </c>
      <c r="J9" s="404">
        <f>IF(ISNUMBER(I9/B9),I9/B9," - ")</f>
        <v>848.4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24</v>
      </c>
      <c r="D10" s="404">
        <f>IF(ISNUMBER(C10/Datos!BH10),C10/Datos!BH10," - ")</f>
        <v>24</v>
      </c>
      <c r="E10" s="403">
        <f>IF(ISNUMBER(Datos!J10),Datos!J10," - ")</f>
        <v>19</v>
      </c>
      <c r="F10" s="404">
        <f>IF(ISNUMBER(E10/B10),E10/B10," - ")</f>
        <v>19</v>
      </c>
      <c r="G10" s="403">
        <f>IF(ISNUMBER(Datos!K10),Datos!K10," - ")</f>
        <v>20</v>
      </c>
      <c r="H10" s="404">
        <f>IF(ISNUMBER(G10/B10),G10/B10," - ")</f>
        <v>20</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87</v>
      </c>
      <c r="D12" s="404" t="str">
        <f>IF(ISNUMBER(C12/Datos!BH12),C12/Datos!BH12," - ")</f>
        <v xml:space="preserve"> - </v>
      </c>
      <c r="E12" s="403">
        <f>IF(ISNUMBER(IF(J_V="SI",Datos!J12,Datos!J12+Datos!Z12)),IF(J_V="SI",Datos!J12,Datos!J12+Datos!Z12)," - ")</f>
        <v>15</v>
      </c>
      <c r="F12" s="404" t="str">
        <f>IF(ISNUMBER(E12/B12),E12/B12," - ")</f>
        <v xml:space="preserve"> - </v>
      </c>
      <c r="G12" s="403">
        <f>IF(ISNUMBER(IF(J_V="SI",Datos!K12,Datos!K12+Datos!AA12)),IF(J_V="SI",Datos!K12,Datos!K12+Datos!AA12)," - ")</f>
        <v>37</v>
      </c>
      <c r="H12" s="404" t="str">
        <f>IF(ISNUMBER(G12/B12),G12/B12," - ")</f>
        <v xml:space="preserve"> - </v>
      </c>
      <c r="I12" s="403">
        <f>IF(ISNUMBER(IF(J_V="SI",Datos!L12,Datos!L12+Datos!AB12)),IF(J_V="SI",Datos!L12,Datos!L12+Datos!AB12)," - ")</f>
        <v>65</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3572</v>
      </c>
      <c r="D13" s="850" t="str">
        <f>IF(ISNUMBER(C13/Datos!BI13),C13/Datos!BI13," - ")</f>
        <v xml:space="preserve"> - </v>
      </c>
      <c r="E13" s="849">
        <f>SUBTOTAL(9,E8:E12)</f>
        <v>2672</v>
      </c>
      <c r="F13" s="850">
        <f>IF(ISNUMBER(E13/B13),E13/B13," - ")</f>
        <v>534.4</v>
      </c>
      <c r="G13" s="849">
        <f>SUBTOTAL(9,G8:G12)</f>
        <v>1914</v>
      </c>
      <c r="H13" s="850">
        <f>IF(ISNUMBER(G13/B13),G13/B13," - ")</f>
        <v>382.8</v>
      </c>
      <c r="I13" s="849">
        <f>SUBTOTAL(9,I8:I12)</f>
        <v>4330</v>
      </c>
      <c r="J13" s="850">
        <f>IF(ISNUMBER(I13/B13),I13/B13," - ")</f>
        <v>866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1851</v>
      </c>
      <c r="D15" s="404">
        <f>IF(ISNUMBER(C15/Datos!BH15),C15/Datos!BH15," - ")</f>
        <v>617</v>
      </c>
      <c r="E15" s="403">
        <f>IF(ISNUMBER(IF(D_I="SI",Datos!J15,Datos!J15+Datos!AD15)),IF(D_I="SI",Datos!J15,Datos!J15+Datos!AD15)," - ")</f>
        <v>1249</v>
      </c>
      <c r="F15" s="404">
        <f>IF(ISNUMBER(E15/B15),E15/B15," - ")</f>
        <v>416.33333333333331</v>
      </c>
      <c r="G15" s="403">
        <f>IF(ISNUMBER(IF(D_I="SI",Datos!K15,Datos!K15+Datos!AE15)),IF(D_I="SI",Datos!K15,Datos!K15+Datos!AE15)," - ")</f>
        <v>1280</v>
      </c>
      <c r="H15" s="404">
        <f>IF(ISNUMBER(G15/B15),G15/B15," - ")</f>
        <v>426.66666666666669</v>
      </c>
      <c r="I15" s="403">
        <f>IF(ISNUMBER(IF(D_I="SI",Datos!L15,Datos!L15+Datos!AF15)),IF(D_I="SI",Datos!L15,Datos!L15+Datos!AF15)," - ")</f>
        <v>1838</v>
      </c>
      <c r="J15" s="404">
        <f>IF(ISNUMBER(I15/B15),I15/B15," - ")</f>
        <v>612.66666666666663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286</v>
      </c>
      <c r="D16" s="404" t="str">
        <f>IF(ISNUMBER(C16/Datos!BH16),C16/Datos!BH16," - ")</f>
        <v xml:space="preserve"> - </v>
      </c>
      <c r="E16" s="403">
        <f>IF(ISNUMBER(IF(D_I="SI",Datos!J16,Datos!J16+Datos!AD16)),IF(D_I="SI",Datos!J16,Datos!J16+Datos!AD16)," - ")</f>
        <v>12</v>
      </c>
      <c r="F16" s="404" t="str">
        <f>IF(ISNUMBER(E16/B16),E16/B16," - ")</f>
        <v xml:space="preserve"> - </v>
      </c>
      <c r="G16" s="403">
        <f>IF(ISNUMBER(IF(D_I="SI",Datos!K16,Datos!K16+Datos!AE16)),IF(D_I="SI",Datos!K16,Datos!K16+Datos!AE16)," - ")</f>
        <v>42</v>
      </c>
      <c r="H16" s="404" t="str">
        <f>IF(ISNUMBER(G16/B16),G16/B16," - ")</f>
        <v xml:space="preserve"> - </v>
      </c>
      <c r="I16" s="403">
        <f>IF(ISNUMBER(IF(D_I="SI",Datos!L16,Datos!L16+Datos!AF16)),IF(D_I="SI",Datos!L16,Datos!L16+Datos!AF16)," - ")</f>
        <v>259</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213</v>
      </c>
      <c r="D17" s="404">
        <f>IF(ISNUMBER(C17/Datos!BH17),C17/Datos!BH17," - ")</f>
        <v>213</v>
      </c>
      <c r="E17" s="403">
        <f>IF(ISNUMBER(IF(D_I="SI",Datos!J17,Datos!J17+Datos!AD17)),IF(D_I="SI",Datos!J17,Datos!J17+Datos!AD17)," - ")</f>
        <v>126</v>
      </c>
      <c r="F17" s="404">
        <f>IF(ISNUMBER(E17/B17),E17/B17," - ")</f>
        <v>126</v>
      </c>
      <c r="G17" s="403">
        <f>IF(ISNUMBER(IF(D_I="SI",Datos!K17,Datos!K17+Datos!AE17)),IF(D_I="SI",Datos!K17,Datos!K17+Datos!AE17)," - ")</f>
        <v>115</v>
      </c>
      <c r="H17" s="404">
        <f>IF(ISNUMBER(G17/B17),G17/B17," - ")</f>
        <v>115</v>
      </c>
      <c r="I17" s="403">
        <f>IF(ISNUMBER(IF(D_I="SI",Datos!L17,Datos!L17+Datos!AF17)),IF(D_I="SI",Datos!L17,Datos!L17+Datos!AF17)," - ")</f>
        <v>224</v>
      </c>
      <c r="J17" s="404">
        <f>IF(ISNUMBER(I17/B17),I17/B17," - ")</f>
        <v>224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2350</v>
      </c>
      <c r="D18" s="850" t="str">
        <f>IF(ISNUMBER(C18/Datos!BI18),C18/Datos!BI18," - ")</f>
        <v xml:space="preserve"> - </v>
      </c>
      <c r="E18" s="849">
        <f>SUBTOTAL(9,E14:E17)</f>
        <v>1387</v>
      </c>
      <c r="F18" s="850">
        <f>IF(ISNUMBER(E18/B18),E18/B18," - ")</f>
        <v>462.33333333333331</v>
      </c>
      <c r="G18" s="849">
        <f>SUBTOTAL(9,G14:G17)</f>
        <v>1437</v>
      </c>
      <c r="H18" s="850">
        <f>IF(ISNUMBER(G18/B18),G18/B18," - ")</f>
        <v>479</v>
      </c>
      <c r="I18" s="849">
        <f>SUBTOTAL(9,I14:I17)</f>
        <v>2321</v>
      </c>
      <c r="J18" s="850">
        <f>IF(ISNUMBER(I18/B18),I18/B18," - ")</f>
        <v>773.66666666666663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5922</v>
      </c>
      <c r="D19" s="795" t="str">
        <f>IF(ISNUMBER(C19/Datos!BI19),C19/Datos!BI19," - ")</f>
        <v xml:space="preserve"> - </v>
      </c>
      <c r="E19" s="794">
        <f>SUBTOTAL(9,E9:E18)</f>
        <v>4059</v>
      </c>
      <c r="F19" s="795">
        <f>IF(ISNUMBER(E19/B19),E19/B19," - ")</f>
        <v>507.375</v>
      </c>
      <c r="G19" s="794">
        <f>SUBTOTAL(9,G9:G18)</f>
        <v>3351</v>
      </c>
      <c r="H19" s="795">
        <f>IF(ISNUMBER(G19/B19),G19/B19," - ")</f>
        <v>418.875</v>
      </c>
      <c r="I19" s="794">
        <f>SUBTOTAL(9,I9:I18)</f>
        <v>6651</v>
      </c>
      <c r="J19" s="795">
        <f>IF(ISNUMBER(I19/B19),I19/B19," - ")</f>
        <v>831.375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IuPAowcb+lCaG9ERa4WCpi2IJhH4HaLfMLLOddwZWqcXidxjRwbgDA/R8LUzJH5lvvl++vQbmVpoJHD31aemQ==" saltValue="bAiv4inQqfBDqSeXCEy+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PONFERRADA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3.4499999999999997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v>
      </c>
      <c r="AM12" s="690">
        <f>IF(ISNUMBER(Datos!N12+DatosP!N16),Datos!N12+DatosP!N16," - ")</f>
        <v>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5.2702702702702711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-2.2857142857142857E-2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44</v>
      </c>
      <c r="AE13" s="939">
        <f t="shared" si="1"/>
        <v>0</v>
      </c>
      <c r="AF13" s="939">
        <f t="shared" si="1"/>
        <v>23</v>
      </c>
      <c r="AG13" s="939">
        <f t="shared" si="1"/>
        <v>0</v>
      </c>
      <c r="AH13" s="939">
        <f t="shared" si="1"/>
        <v>1881</v>
      </c>
      <c r="AI13" s="939">
        <f t="shared" si="1"/>
        <v>0</v>
      </c>
      <c r="AJ13" s="939">
        <f t="shared" si="1"/>
        <v>0</v>
      </c>
      <c r="AK13" s="939">
        <f t="shared" si="1"/>
        <v>0</v>
      </c>
      <c r="AL13" s="939">
        <f t="shared" si="1"/>
        <v>25</v>
      </c>
      <c r="AM13" s="939">
        <f t="shared" si="1"/>
        <v>17</v>
      </c>
      <c r="AN13" s="939">
        <f t="shared" si="1"/>
        <v>0</v>
      </c>
      <c r="AO13" s="939">
        <f t="shared" si="1"/>
        <v>0</v>
      </c>
      <c r="AP13" s="944">
        <f>IF(ISNUMBER(((Datos!L13/Datos!K13)*11)/factor_trimestre),((Datos!L13/Datos!K13)*11)/factor_trimestre," - ")</f>
        <v>7.1158536585365866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-0.83333333333333337</v>
      </c>
      <c r="AU13" s="939" t="str">
        <f>IF(ISNUMBER((DatosP!#REF!-DatosP!#REF!+DatosP!#REF!)/(DatosP!#REF!+DatosP!#REF!-DatosP!#REF!-DatosP!#REF!)),(DatosP!#REF!-DatosP!#REF!+DatosP!#REF!)/(DatosP!#REF!+DatosP!#REF!-DatosP!#REF!-DatosP!#REF!)," - ")</f>
        <v xml:space="preserve"> - </v>
      </c>
      <c r="AV13" s="945">
        <f>SUBTOTAL(9,AV9:AV12)</f>
        <v>-2.2857142857142857E-2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4.8455114822546976</v>
      </c>
      <c r="AQ18" s="944">
        <f>IF(ISNUMBER(((Datos!M18/Datos!L18)*11)/factor_trimestre),((Datos!M18/Datos!L18)*11)/factor_trimestre," - ")</f>
        <v>0.27401981904351574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8.9686098654708515E-2</v>
      </c>
      <c r="AW18" s="946">
        <f>IF(ISNUMBER((Datos!Q18-Datos!R18)/(Datos!S18-Datos!Q18+Datos!R18)),(Datos!Q18-Datos!R18)/(Datos!S18-Datos!Q18+Datos!R18)," - ")</f>
        <v>-0.12303030303030303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44</v>
      </c>
      <c r="AE19" s="957">
        <f t="shared" si="5"/>
        <v>0</v>
      </c>
      <c r="AF19" s="958">
        <f t="shared" si="5"/>
        <v>23</v>
      </c>
      <c r="AG19" s="958">
        <f t="shared" si="5"/>
        <v>0</v>
      </c>
      <c r="AH19" s="958">
        <f t="shared" si="5"/>
        <v>1881</v>
      </c>
      <c r="AI19" s="958">
        <f t="shared" si="5"/>
        <v>0</v>
      </c>
      <c r="AJ19" s="959">
        <f t="shared" si="5"/>
        <v>0</v>
      </c>
      <c r="AK19" s="959">
        <f t="shared" si="5"/>
        <v>0</v>
      </c>
      <c r="AL19" s="951">
        <f t="shared" si="5"/>
        <v>25</v>
      </c>
      <c r="AM19" s="951">
        <f t="shared" si="5"/>
        <v>17</v>
      </c>
      <c r="AN19" s="951">
        <f t="shared" si="5"/>
        <v>0</v>
      </c>
      <c r="AO19" s="951">
        <f t="shared" si="5"/>
        <v>0</v>
      </c>
      <c r="AP19" s="951">
        <f>IF(ISNUMBER(((Datos!L19/Datos!K19)*11)/factor_trimestre),((Datos!L19/Datos!K19)*11)/factor_trimestre," - ")</f>
        <v>6.1092255476704729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-0.83333333333333337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3.0952380952380953E-2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10.214368964029708</v>
      </c>
      <c r="AM21" s="736"/>
      <c r="AN21" s="736">
        <f>IF(ISNUMBER(STDEV(AN8:AN18)),STDEV(AN8:AN18),"-")</f>
        <v>0</v>
      </c>
      <c r="AO21" s="742">
        <f>IF(ISNUMBER(STDEV(AO8:AO18)),STDEV(AO8:AO18),"-")</f>
        <v>0</v>
      </c>
      <c r="AP21" s="779">
        <f>IF(ISNUMBER(STDEV(AP8:AP18)),STDEV(AP8:AP18),"-")</f>
        <v>1.5121830485588801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Luc9y2tRsef4Rnv9LjAOI4tWJ+/qcx79vNEMy+6zRfcl1Q17gEPBqkMi/LrXykxt+CTRYqjjsswZVmcBWf7g==" saltValue="y5stAH5kAYIJ0K8HhOjC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PONFERRADA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IliHnIPY3wNjbQTUJtAx1I7YBaIkrvtf/oqlCJBRzcYBl4SylPBM3xkQfXevge+As4Sq8lO/BQJ+ZGCLbbIPA==" saltValue="756X3gvB4gUdCkyPbB9p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PONFERRADA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582</v>
      </c>
      <c r="E9" s="404">
        <f t="shared" ref="E9:E13" si="0">IF(ISNUMBER(D9/B9),D9/B9," - ")</f>
        <v>116.4</v>
      </c>
      <c r="F9" s="403">
        <f>IF(ISNUMBER(Datos!N9),Datos!N9," - ")</f>
        <v>568</v>
      </c>
      <c r="G9" s="404">
        <f t="shared" ref="G9:G13" si="1">IF(ISNUMBER(F9/B9),F9/B9," - ")</f>
        <v>113.6</v>
      </c>
      <c r="H9" s="403">
        <f>IF(ISNUMBER(Datos!O9),Datos!O9," - ")</f>
        <v>711</v>
      </c>
      <c r="I9" s="404">
        <f>IF(ISNUMBER(H9/B9),H9/B9," - ")</f>
        <v>142.19999999999999</v>
      </c>
    </row>
    <row r="10" spans="1:9">
      <c r="A10" s="402" t="str">
        <f>Datos!A10</f>
        <v>Jdos. Violencia contra la mujer</v>
      </c>
      <c r="B10" s="427">
        <f>Datos!AO10</f>
        <v>1</v>
      </c>
      <c r="C10" s="410">
        <f>Datos!AQ10</f>
        <v>0</v>
      </c>
      <c r="D10" s="403">
        <f>IF(ISNUMBER(Datos!M10),Datos!M10," - ")</f>
        <v>13</v>
      </c>
      <c r="E10" s="404">
        <f>IF(ISNUMBER(D10/B10),D10/B10," - ")</f>
        <v>13</v>
      </c>
      <c r="F10" s="403">
        <f>IF(ISNUMBER(Datos!N10),Datos!N10," - ")</f>
        <v>2</v>
      </c>
      <c r="G10" s="404">
        <f>IF(ISNUMBER(F10/B10),F10/B10," - ")</f>
        <v>2</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12</v>
      </c>
      <c r="E12" s="404" t="str">
        <f t="shared" si="0"/>
        <v xml:space="preserve"> - </v>
      </c>
      <c r="F12" s="403">
        <f>IF(ISNUMBER(Datos!N12),Datos!N12," - ")</f>
        <v>15</v>
      </c>
      <c r="G12" s="404" t="str">
        <f t="shared" si="1"/>
        <v xml:space="preserve"> - </v>
      </c>
      <c r="H12" s="403">
        <f>IF(ISNUMBER(Datos!O12),Datos!O12," - ")</f>
        <v>59</v>
      </c>
      <c r="I12" s="404" t="str">
        <f t="shared" si="2"/>
        <v xml:space="preserve"> - </v>
      </c>
    </row>
    <row r="13" spans="1:9" ht="14.25" thickTop="1" thickBot="1">
      <c r="A13" s="848" t="str">
        <f>Datos!A13</f>
        <v>TOTAL</v>
      </c>
      <c r="B13" s="849">
        <f>Datos!AO13</f>
        <v>6</v>
      </c>
      <c r="C13" s="851">
        <f>Datos!AR13</f>
        <v>5</v>
      </c>
      <c r="D13" s="849">
        <f>SUBTOTAL(9,D9:D12)</f>
        <v>607</v>
      </c>
      <c r="E13" s="850">
        <f t="shared" si="0"/>
        <v>101.16666666666667</v>
      </c>
      <c r="F13" s="849">
        <f>SUBTOTAL(9,F9:F12)</f>
        <v>585</v>
      </c>
      <c r="G13" s="850">
        <f t="shared" si="1"/>
        <v>97.5</v>
      </c>
      <c r="H13" s="849">
        <f>SUBTOTAL(9,H9:H12)</f>
        <v>773</v>
      </c>
      <c r="I13" s="850">
        <f>IF(ISNUMBER(H13/B13),H13/B13," - ")</f>
        <v>128.83333333333334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197</v>
      </c>
      <c r="E15" s="404">
        <f t="shared" ref="E15:E18" si="3">IF(ISNUMBER(D15/B15),D15/B15," - ")</f>
        <v>65.666666666666671</v>
      </c>
      <c r="F15" s="403">
        <f>IF(ISNUMBER(Datos!N15),Datos!N15," - ")</f>
        <v>796</v>
      </c>
      <c r="G15" s="404">
        <f t="shared" ref="G15:G18" si="4">IF(ISNUMBER(F15/B15),F15/B15," - ")</f>
        <v>265.33333333333331</v>
      </c>
      <c r="H15" s="403">
        <f>IF(ISNUMBER(Datos!O15),Datos!O15," - ")</f>
        <v>20</v>
      </c>
      <c r="I15" s="404">
        <f t="shared" ref="I15:I17" si="5">IF(ISNUMBER(H15/B15),H15/B15," - ")</f>
        <v>6.666666666666667</v>
      </c>
    </row>
    <row r="16" spans="1:9">
      <c r="A16" s="402" t="str">
        <f>Datos!A16</f>
        <v xml:space="preserve">Jdos. 1ª Instª. e Instr.                        </v>
      </c>
      <c r="B16" s="427">
        <f>Datos!AO16</f>
        <v>0</v>
      </c>
      <c r="C16" s="428">
        <f>Datos!AQ16</f>
        <v>0</v>
      </c>
      <c r="D16" s="403">
        <f>IF(ISNUMBER(Datos!M16),Datos!M16," - ")</f>
        <v>7</v>
      </c>
      <c r="E16" s="404" t="str">
        <f t="shared" si="3"/>
        <v xml:space="preserve"> - </v>
      </c>
      <c r="F16" s="403">
        <f>IF(ISNUMBER(Datos!N16),Datos!N16," - ")</f>
        <v>10</v>
      </c>
      <c r="G16" s="404" t="str">
        <f t="shared" si="4"/>
        <v xml:space="preserve"> - </v>
      </c>
      <c r="H16" s="403">
        <f>IF(ISNUMBER(Datos!O16),Datos!O16," - ")</f>
        <v>2</v>
      </c>
      <c r="I16" s="404" t="str">
        <f t="shared" si="5"/>
        <v xml:space="preserve"> - </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76</v>
      </c>
      <c r="G17" s="404">
        <f>IF(ISNUMBER(F17/B17),F17/B17," - ")</f>
        <v>76</v>
      </c>
      <c r="H17" s="403">
        <f>IF(ISNUMBER(Datos!O17),Datos!O17," - ")</f>
        <v>0</v>
      </c>
      <c r="I17" s="404">
        <f t="shared" si="5"/>
        <v>0</v>
      </c>
    </row>
    <row r="18" spans="1:9" ht="14.25" thickTop="1" thickBot="1">
      <c r="A18" s="848" t="str">
        <f>Datos!A18</f>
        <v>TOTAL</v>
      </c>
      <c r="B18" s="849">
        <f>Datos!AO18</f>
        <v>4</v>
      </c>
      <c r="C18" s="851">
        <f>Datos!AR18</f>
        <v>3</v>
      </c>
      <c r="D18" s="849">
        <f>SUBTOTAL(9,D15:D17)</f>
        <v>212</v>
      </c>
      <c r="E18" s="850">
        <f t="shared" si="3"/>
        <v>53</v>
      </c>
      <c r="F18" s="849">
        <f>SUBTOTAL(9,F15:F17)</f>
        <v>882</v>
      </c>
      <c r="G18" s="850">
        <f t="shared" si="4"/>
        <v>220.5</v>
      </c>
      <c r="H18" s="849">
        <f>SUBTOTAL(9,H15:H17)</f>
        <v>22</v>
      </c>
      <c r="I18" s="850">
        <f>IF(ISNUMBER(H18/B18),H18/B18," - ")</f>
        <v>5.5</v>
      </c>
    </row>
    <row r="19" spans="1:9" ht="14.25" thickTop="1" thickBot="1">
      <c r="A19" s="793" t="str">
        <f>Datos!A19</f>
        <v>TOTAL JURISDICCIONES</v>
      </c>
      <c r="B19" s="794">
        <f>Datos!AP19</f>
        <v>8</v>
      </c>
      <c r="C19" s="794">
        <f>Datos!AR19</f>
        <v>8</v>
      </c>
      <c r="D19" s="794">
        <f>SUBTOTAL(9,D8:D18)</f>
        <v>819</v>
      </c>
      <c r="E19" s="795">
        <f>IF(ISNUMBER(D19/B19),D19/B19," - ")</f>
        <v>102.375</v>
      </c>
      <c r="F19" s="794">
        <f>SUBTOTAL(9,F8:F18)</f>
        <v>1467</v>
      </c>
      <c r="G19" s="795">
        <f>IF(ISNUMBER(F19/B19),F19/B19," - ")</f>
        <v>183.375</v>
      </c>
      <c r="H19" s="794">
        <f>SUBTOTAL(9,H8:H18)</f>
        <v>795</v>
      </c>
      <c r="I19" s="795">
        <f>IF(ISNUMBER(H19/B19),H19/B19," - ")</f>
        <v>99.375</v>
      </c>
    </row>
    <row r="22" spans="1:9">
      <c r="A22" s="391" t="str">
        <f>Criterios!A4</f>
        <v>Fecha Informe: 29 may. 2024</v>
      </c>
    </row>
    <row r="27" spans="1:9">
      <c r="A27" s="414"/>
    </row>
  </sheetData>
  <sheetProtection algorithmName="SHA-512" hashValue="FYeOWiIirK0owPigX3LNkPKmouwzXBt7hCAnqXRYhE6eb868VdgwgxvqbmOuzYbmqWHx2iKfrv+vmFq7tuRzCw==" saltValue="tgeyUMg+JVdstWZNL78n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PONFERRADA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398</v>
      </c>
      <c r="C9" s="434">
        <f>IF(ISNUMBER(Datos!Q9),Datos!Q9," - ")</f>
        <v>180</v>
      </c>
      <c r="D9" s="408">
        <f>IF(ISNUMBER(Datos!R9),Datos!R9," - ")</f>
        <v>4326</v>
      </c>
    </row>
    <row r="10" spans="1:4">
      <c r="A10" s="402" t="str">
        <f>Datos!A10</f>
        <v>Jdos. Violencia contra la mujer</v>
      </c>
      <c r="B10" s="433">
        <f>IF(ISNUMBER(Datos!P10),Datos!P10," - ")</f>
        <v>4</v>
      </c>
      <c r="C10" s="434">
        <f>IF(ISNUMBER(Datos!Q10),Datos!Q10," - ")</f>
        <v>3</v>
      </c>
      <c r="D10" s="408">
        <f>IF(ISNUMBER(Datos!R10),Datos!R10," - ")</f>
        <v>45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44</v>
      </c>
      <c r="D12" s="408">
        <f>IF(ISNUMBER(Datos!R12),Datos!R12," - ")</f>
        <v>1881</v>
      </c>
    </row>
    <row r="13" spans="1:4" ht="14.25" thickTop="1" thickBot="1">
      <c r="A13" s="848" t="str">
        <f>Datos!A13</f>
        <v>TOTAL</v>
      </c>
      <c r="B13" s="849">
        <f>SUBTOTAL(9,B9:B12)</f>
        <v>402</v>
      </c>
      <c r="C13" s="853">
        <f>SUBTOTAL(9,C9:C12)</f>
        <v>227</v>
      </c>
      <c r="D13" s="851">
        <f>SUBTOTAL(9,D9:D12)</f>
        <v>6252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49</v>
      </c>
      <c r="C15" s="434">
        <f>IF(ISNUMBER(Datos!Q15),Datos!Q15," - ")</f>
        <v>28</v>
      </c>
      <c r="D15" s="408">
        <f>IF(ISNUMBER(Datos!R15),Datos!R15," - ")</f>
        <v>242</v>
      </c>
    </row>
    <row r="16" spans="1:4">
      <c r="A16" s="402" t="str">
        <f>Datos!A16</f>
        <v xml:space="preserve">Jdos. 1ª Instª. e Instr.                        </v>
      </c>
      <c r="B16" s="433">
        <f>IF(ISNUMBER(Datos!P16),Datos!P16," - ")</f>
        <v>6</v>
      </c>
      <c r="C16" s="434">
        <f>IF(ISNUMBER(Datos!Q16),Datos!Q16," - ")</f>
        <v>6</v>
      </c>
      <c r="D16" s="408">
        <f>IF(ISNUMBER(Datos!R16),Datos!R16," - ")</f>
        <v>0</v>
      </c>
    </row>
    <row r="17" spans="1:4" ht="13.5" thickBot="1">
      <c r="A17" s="402" t="str">
        <f>Datos!A17</f>
        <v>Jdos. Violencia contra la mujer</v>
      </c>
      <c r="B17" s="433">
        <f>IF(ISNUMBER(Datos!P17),Datos!P17," - ")</f>
        <v>5</v>
      </c>
      <c r="C17" s="434">
        <f>IF(ISNUMBER(Datos!Q17),Datos!Q17," - ")</f>
        <v>6</v>
      </c>
      <c r="D17" s="408">
        <f>IF(ISNUMBER(Datos!R17),Datos!R17," - ")</f>
        <v>1</v>
      </c>
    </row>
    <row r="18" spans="1:4" ht="14.25" thickTop="1" thickBot="1">
      <c r="A18" s="848" t="str">
        <f>Datos!A18</f>
        <v>TOTAL</v>
      </c>
      <c r="B18" s="849">
        <f>SUBTOTAL(9,B15:B17)</f>
        <v>60</v>
      </c>
      <c r="C18" s="853">
        <f>SUBTOTAL(9,C15:C17)</f>
        <v>40</v>
      </c>
      <c r="D18" s="851">
        <f>SUBTOTAL(9,D15:D17)</f>
        <v>243</v>
      </c>
    </row>
    <row r="19" spans="1:4" ht="16.5" customHeight="1" thickTop="1" thickBot="1">
      <c r="A19" s="793" t="str">
        <f>Datos!A19</f>
        <v>TOTAL JURISDICCIONES</v>
      </c>
      <c r="B19" s="798">
        <f>SUBTOTAL(9,B8:B18)</f>
        <v>462</v>
      </c>
      <c r="C19" s="799">
        <f>SUBTOTAL(9,C8:C18)</f>
        <v>267</v>
      </c>
      <c r="D19" s="800">
        <f>SUBTOTAL(9,D8:D18)</f>
        <v>6495</v>
      </c>
    </row>
    <row r="20" spans="1:4" ht="7.5" customHeight="1"/>
    <row r="21" spans="1:4" ht="6" customHeight="1"/>
    <row r="22" spans="1:4">
      <c r="A22" s="391" t="str">
        <f>Criterios!A4</f>
        <v>Fecha Informe: 29 may. 2024</v>
      </c>
    </row>
    <row r="27" spans="1:4">
      <c r="A27" s="414"/>
    </row>
  </sheetData>
  <sheetProtection algorithmName="SHA-512" hashValue="9q7TULxk9SMA58imek0F9LSSYhQBXNkuGAhsFGAZtDnFYjF5vcL59pWax9dIky3k+vfwgwuDiTWpFlRw0wh7fA==" saltValue="sTHXahDRE1HUEO/DSPpz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PONFERRADA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1.4236694677871149</v>
      </c>
      <c r="C9" s="456">
        <f>IF(ISNUMBER(
   IF(J_V="SI",(Datos!J9-Datos!T9)/Datos!T9,(Datos!J9+Datos!Z9-(Datos!T9+Datos!AH9))/(Datos!T9+Datos!AH9))
     ),IF(J_V="SI",(Datos!J9-Datos!T9)/Datos!T9,(Datos!J9+Datos!Z9-(Datos!T9+Datos!AH9))/(Datos!T9+Datos!AH9))," - ")</f>
        <v>1.224283305227656</v>
      </c>
      <c r="D9" s="456">
        <f>IF(ISNUMBER(
   IF(J_V="SI",(Datos!K9-Datos!U9)/Datos!U9,(Datos!K9+Datos!AA9-(Datos!U9+Datos!AI9))/(Datos!U9+Datos!AI9))
     ),IF(J_V="SI",(Datos!K9-Datos!U9)/Datos!U9,(Datos!K9+Datos!AA9-(Datos!U9+Datos!AI9))/(Datos!U9+Datos!AI9))," - ")</f>
        <v>0.67146714671467145</v>
      </c>
      <c r="E9" s="456">
        <f>IF(ISNUMBER(
   IF(J_V="SI",(Datos!L9-Datos!V9)/Datos!V9,(Datos!L9+Datos!AB9-(Datos!V9+Datos!AJ9))/(Datos!V9+Datos!AJ9))
     ),IF(J_V="SI",(Datos!L9-Datos!V9)/Datos!V9,(Datos!L9+Datos!AB9-(Datos!V9+Datos!AJ9))/(Datos!V9+Datos!AJ9))," - ")</f>
        <v>1.8223552894211577</v>
      </c>
      <c r="F9" s="456">
        <f>IF(ISNUMBER((Datos!M9-Datos!W9)/Datos!W9),(Datos!M9-Datos!W9)/Datos!W9," - ")</f>
        <v>1.0565371024734982</v>
      </c>
      <c r="G9" s="457">
        <f>IF(ISNUMBER((Datos!N9-Datos!X9)/Datos!X9),(Datos!N9-Datos!X9)/Datos!X9," - ")</f>
        <v>0.6275071633237822</v>
      </c>
      <c r="H9" s="455">
        <f>IF(ISNUMBER(((NºAsuntos!G9/NºAsuntos!E9)-Datos!BD9)/Datos!BD9),((NºAsuntos!G9/NºAsuntos!E9)-Datos!BD9)/Datos!BD9," - ")</f>
        <v>-0.24853675663244873</v>
      </c>
      <c r="I9" s="456">
        <f>IF(ISNUMBER(((NºAsuntos!I9/NºAsuntos!G9)-Datos!BE9)/Datos!BE9),((NºAsuntos!I9/NºAsuntos!G9)-Datos!BE9)/Datos!BE9," - ")</f>
        <v>0.6885496642686626</v>
      </c>
      <c r="J9" s="461">
        <f>IF(ISNUMBER((('Resol  Asuntos'!D9/NºAsuntos!G9)-Datos!BF9)/Datos!BF9),(('Resol  Asuntos'!D9/NºAsuntos!G9)-Datos!BF9)/Datos!BF9," - ")</f>
        <v>-2.3005957478325297E-3</v>
      </c>
      <c r="K9" s="462">
        <f>IF(ISNUMBER((((NºAsuntos!C9+NºAsuntos!E9)/NºAsuntos!G9)-Datos!BG9)/Datos!BG9),(((NºAsuntos!C9+NºAsuntos!E9)/NºAsuntos!G9)-Datos!BG9)/Datos!BG9," - ")</f>
        <v>0.39590288653244055</v>
      </c>
    </row>
    <row r="10" spans="1:11">
      <c r="A10" s="402" t="str">
        <f>Datos!A10</f>
        <v>Jdos. Violencia contra la mujer</v>
      </c>
      <c r="B10" s="455">
        <f>IF(ISNUMBER((Datos!I10-Datos!S10)/Datos!S10),(Datos!I10-Datos!S10)/Datos!S10," - ")</f>
        <v>-0.14285714285714285</v>
      </c>
      <c r="C10" s="456">
        <f>IF(ISNUMBER((Datos!J10-Datos!T10)/Datos!T10),(Datos!J10-Datos!T10)/Datos!T10," - ")</f>
        <v>0.46153846153846156</v>
      </c>
      <c r="D10" s="456">
        <f>IF(ISNUMBER((Datos!K10-Datos!U10)/Datos!U10),(Datos!K10-Datos!U10)/Datos!U10," - ")</f>
        <v>1</v>
      </c>
      <c r="E10" s="456">
        <f>IF(ISNUMBER((Datos!L10-Datos!V10)/Datos!V10),(Datos!L10-Datos!V10)/Datos!V10," - ")</f>
        <v>-0.25806451612903225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0.36842105263157882</v>
      </c>
      <c r="I10" s="456">
        <f>IF(ISNUMBER(((NºAsuntos!I10/NºAsuntos!G10)-Datos!BE10)/Datos!BE10),((NºAsuntos!I10/NºAsuntos!G10)-Datos!BE10)/Datos!BE10," - ")</f>
        <v>-0.62903225806451613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-0.47560975609756095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-0.90147225368063422</v>
      </c>
      <c r="C12" s="456">
        <f>IF(ISNUMBER(
   IF(J_V="SI",(Datos!J12-Datos!T12)/Datos!T12,(Datos!J12+Datos!Z12-(Datos!T12+Datos!AH12))/(Datos!T12+Datos!AH12))
     ),IF(J_V="SI",(Datos!J12-Datos!T12)/Datos!T12,(Datos!J12+Datos!Z12-(Datos!T12+Datos!AH12))/(Datos!T12+Datos!AH12))," - ")</f>
        <v>-0.86725663716814161</v>
      </c>
      <c r="D12" s="456">
        <f>IF(ISNUMBER(
   IF(J_V="SI",(Datos!K12-Datos!U12)/Datos!U12,(Datos!K12+Datos!AA12-(Datos!U12+Datos!AI12))/(Datos!U12+Datos!AI12))
     ),IF(J_V="SI",(Datos!K12-Datos!U12)/Datos!U12,(Datos!K12+Datos!AA12-(Datos!U12+Datos!AI12))/(Datos!U12+Datos!AI12))," - ")</f>
        <v>-0.92161016949152541</v>
      </c>
      <c r="E12" s="456">
        <f>IF(ISNUMBER(
   IF(J_V="SI",(Datos!L12-Datos!V12)/Datos!V12,(Datos!L12+Datos!AB12-(Datos!V12+Datos!AJ12))/(Datos!V12+Datos!AJ12))
     ),IF(J_V="SI",(Datos!L12-Datos!V12)/Datos!V12,(Datos!L12+Datos!AB12-(Datos!V12+Datos!AJ12))/(Datos!V12+Datos!AJ12))," - ")</f>
        <v>-0.87827715355805247</v>
      </c>
      <c r="F12" s="456">
        <f>IF(ISNUMBER((Datos!M12-Datos!W12)/Datos!W12),(Datos!M12-Datos!W12)/Datos!W12," - ")</f>
        <v>-0.88</v>
      </c>
      <c r="G12" s="457">
        <f>IF(ISNUMBER((Datos!N12-Datos!X12)/Datos!X12),(Datos!N12-Datos!X12)/Datos!X12," - ")</f>
        <v>-0.9152542372881356</v>
      </c>
      <c r="H12" s="455">
        <f>IF(ISNUMBER(((NºAsuntos!G12/NºAsuntos!E12)-Datos!BD12)/Datos!BD12),((NºAsuntos!G12/NºAsuntos!E12)-Datos!BD12)/Datos!BD12," - ")</f>
        <v>-0.40946327683615819</v>
      </c>
      <c r="I12" s="456">
        <f>IF(ISNUMBER(((NºAsuntos!I12/NºAsuntos!G12)-Datos!BE12)/Datos!BE12),((NºAsuntos!I12/NºAsuntos!G12)-Datos!BE12)/Datos!BE12," - ")</f>
        <v>0.55278874379997966</v>
      </c>
      <c r="J12" s="461">
        <f>IF(ISNUMBER((('Resol  Asuntos'!D12/NºAsuntos!G12)-Datos!BF12)/Datos!BF12),(('Resol  Asuntos'!D12/NºAsuntos!G12)-Datos!BF12)/Datos!BF12," - ")</f>
        <v>-0.13513513513513509</v>
      </c>
      <c r="K12" s="462">
        <f>IF(ISNUMBER((((NºAsuntos!C12+NºAsuntos!E12)/NºAsuntos!G12)-Datos!BG12)/Datos!BG12),(((NºAsuntos!C12+NºAsuntos!E12)/NºAsuntos!G12)-Datos!BG12)/Datos!BG12," - ")</f>
        <v>0.30641484858352308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0.52714835399743476</v>
      </c>
      <c r="C13" s="855">
        <f>IF(ISNUMBER(
   IF(J_V="SI",(Datos!J13-Datos!T13)/Datos!T13,(Datos!J13+Datos!Z13-(Datos!T13+Datos!AH13))/(Datos!T13+Datos!AH13))
     ),IF(J_V="SI",(Datos!J13-Datos!T13)/Datos!T13,(Datos!J13+Datos!Z13-(Datos!T13+Datos!AH13))/(Datos!T13+Datos!AH13))," - ")</f>
        <v>1.0365853658536586</v>
      </c>
      <c r="D13" s="855">
        <f>IF(ISNUMBER(
   IF(J_V="SI",(Datos!K13-Datos!U13)/Datos!U13,(Datos!K13+Datos!AA13-(Datos!U13+Datos!AI13))/(Datos!U13+Datos!AI13))
     ),IF(J_V="SI",(Datos!K13-Datos!U13)/Datos!U13,(Datos!K13+Datos!AA13-(Datos!U13+Datos!AI13))/(Datos!U13+Datos!AI13))," - ")</f>
        <v>0.20150659133709981</v>
      </c>
      <c r="E13" s="855">
        <f>IF(ISNUMBER(
   IF(J_V="SI",(Datos!L13-Datos!V13)/Datos!V13,(Datos!L13+Datos!AB13-(Datos!V13+Datos!AJ13))/(Datos!V13+Datos!AJ13))
     ),IF(J_V="SI",(Datos!L13-Datos!V13)/Datos!V13,(Datos!L13+Datos!AB13-(Datos!V13+Datos!AJ13))/(Datos!V13+Datos!AJ13))," - ")</f>
        <v>1.0938104448742747</v>
      </c>
      <c r="F13" s="856">
        <f>IF(ISNUMBER((Datos!M13-Datos!W13)/Datos!W13),(Datos!M13-Datos!W13)/Datos!W13," - ")</f>
        <v>0.58485639686684077</v>
      </c>
      <c r="G13" s="857">
        <f>IF(ISNUMBER((Datos!N13-Datos!X13)/Datos!X13),(Datos!N13-Datos!X13)/Datos!X13," - ")</f>
        <v>0.11216730038022814</v>
      </c>
      <c r="H13" s="857">
        <f>IF(ISNUMBER(((NºAsuntos!G13/NºAsuntos!E13)-Datos!BD13)/Datos!BD13),((NºAsuntos!G13/NºAsuntos!E13)-Datos!BD13)/Datos!BD13," - ")</f>
        <v>-0.41003867970274138</v>
      </c>
      <c r="I13" s="857">
        <f>IF(ISNUMBER(((NºAsuntos!I13/NºAsuntos!G13)-Datos!BE13)/Datos!BE13),((NºAsuntos!I13/NºAsuntos!G13)-Datos!BE13)/Datos!BE13," - ")</f>
        <v>0.74265414769316596</v>
      </c>
      <c r="J13" s="857">
        <f>IF(ISNUMBER((('Resol  Asuntos'!D13/NºAsuntos!G13)-Datos!BF13)/Datos!BF13),(('Resol  Asuntos'!D13/NºAsuntos!G13)-Datos!BF13)/Datos!BF13," - ")</f>
        <v>-3.9545514142341136E-2</v>
      </c>
      <c r="K13" s="857">
        <f>IF(ISNUMBER((((NºAsuntos!C13+NºAsuntos!E13)/NºAsuntos!G13)-Datos!BG13)/Datos!BG13),(((NºAsuntos!C13+NºAsuntos!E13)/NºAsuntos!G13)-Datos!BG13)/Datos!BG13," - ")</f>
        <v>0.42339325593795313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2.9216101694915255</v>
      </c>
      <c r="C15" s="456">
        <f>IF(ISNUMBER(
   IF(D_I="SI",(Datos!J15-Datos!T15)/Datos!T15,(Datos!J15+Datos!AD15-(Datos!T15+Datos!AL15))/(Datos!T15+Datos!AL15))
     ),IF(D_I="SI",(Datos!J15-Datos!T15)/Datos!T15,(Datos!J15+Datos!AD15-(Datos!T15+Datos!AL15))/(Datos!T15+Datos!AL15))," - ")</f>
        <v>8.892763731473409E-2</v>
      </c>
      <c r="D15" s="456">
        <f>IF(ISNUMBER(
   IF(D_I="SI",(Datos!K15-Datos!U15)/Datos!U15,(Datos!K15+Datos!AE15-(Datos!U15+Datos!AM15))/(Datos!U15+Datos!AM15))
     ),IF(D_I="SI",(Datos!K15-Datos!U15)/Datos!U15,(Datos!K15+Datos!AE15-(Datos!U15+Datos!AM15))/(Datos!U15+Datos!AM15))," - ")</f>
        <v>0.74149659863945583</v>
      </c>
      <c r="E15" s="456">
        <f>IF(ISNUMBER(
   IF(D_I="SI",(Datos!L15-Datos!V15)/Datos!V15,(Datos!L15+Datos!AF15-(Datos!V15+Datos!AN15))/(Datos!V15+Datos!AN15))
     ),IF(D_I="SI",(Datos!L15-Datos!V15)/Datos!V15,(Datos!L15+Datos!AF15-(Datos!V15+Datos!AN15))/(Datos!V15+Datos!AN15))," - ")</f>
        <v>1.0721533258173619</v>
      </c>
      <c r="F15" s="456">
        <f>IF(ISNUMBER((Datos!M15-Datos!W15)/Datos!W15),(Datos!M15-Datos!W15)/Datos!W15," - ")</f>
        <v>1.5256410256410255</v>
      </c>
      <c r="G15" s="457">
        <f>IF(ISNUMBER((Datos!N15-Datos!X15)/Datos!X15),(Datos!N15-Datos!X15)/Datos!X15," - ")</f>
        <v>0.52198852772466542</v>
      </c>
      <c r="H15" s="455">
        <f>IF(ISNUMBER(((NºAsuntos!G15/NºAsuntos!E15)-Datos!BD15)/Datos!BD15),((NºAsuntos!G15/NºAsuntos!E15)-Datos!BD15)/Datos!BD15," - ")</f>
        <v>0.59927670027178193</v>
      </c>
      <c r="I15" s="456">
        <f>IF(ISNUMBER(((NºAsuntos!I15/NºAsuntos!G15)-Datos!BE15)/Datos!BE15),((NºAsuntos!I15/NºAsuntos!G15)-Datos!BE15)/Datos!BE15," - ")</f>
        <v>0.18986929255918839</v>
      </c>
      <c r="J15" s="461">
        <f>IF(ISNUMBER((('Resol  Asuntos'!D15/NºAsuntos!G15)-Datos!BF15)/Datos!BF15),(('Resol  Asuntos'!D15/NºAsuntos!G15)-Datos!BF15)/Datos!BF15," - ")</f>
        <v>0.45027043269230771</v>
      </c>
      <c r="K15" s="462">
        <f>IF(ISNUMBER((((NºAsuntos!C15+NºAsuntos!E15)/NºAsuntos!G15)-Datos!BG15)/Datos!BG15),(((NºAsuntos!C15+NºAsuntos!E15)/NºAsuntos!G15)-Datos!BG15)/Datos!BG15," - ")</f>
        <v>9.949235639283513E-2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-0.67050691244239635</v>
      </c>
      <c r="C16" s="456">
        <f>IF(ISNUMBER(
   IF(D_I="SI",(Datos!J16-Datos!T16)/Datos!T16,(Datos!J16+Datos!AD16-(Datos!T16+Datos!AL16))/(Datos!T16+Datos!AL16))
     ),IF(D_I="SI",(Datos!J16-Datos!T16)/Datos!T16,(Datos!J16+Datos!AD16-(Datos!T16+Datos!AL16))/(Datos!T16+Datos!AL16))," - ")</f>
        <v>-0.89380530973451322</v>
      </c>
      <c r="D16" s="456">
        <f>IF(ISNUMBER(
   IF(D_I="SI",(Datos!K16-Datos!U16)/Datos!U16,(Datos!K16+Datos!AE16-(Datos!U16+Datos!AM16))/(Datos!U16+Datos!AM16))
     ),IF(D_I="SI",(Datos!K16-Datos!U16)/Datos!U16,(Datos!K16+Datos!AE16-(Datos!U16+Datos!AM16))/(Datos!U16+Datos!AM16))," - ")</f>
        <v>-0.88555858310626701</v>
      </c>
      <c r="E16" s="456">
        <f>IF(ISNUMBER(
   IF(D_I="SI",(Datos!L16-Datos!V16)/Datos!V16,(Datos!L16+Datos!AF16-(Datos!V16+Datos!AN16))/(Datos!V16+Datos!AN16))
     ),IF(D_I="SI",(Datos!L16-Datos!V16)/Datos!V16,(Datos!L16+Datos!AF16-(Datos!V16+Datos!AN16))/(Datos!V16+Datos!AN16))," - ")</f>
        <v>-0.57471264367816088</v>
      </c>
      <c r="F16" s="456">
        <f>IF(ISNUMBER((Datos!M16-Datos!W16)/Datos!W16),(Datos!M16-Datos!W16)/Datos!W16," - ")</f>
        <v>-0.88135593220338981</v>
      </c>
      <c r="G16" s="457">
        <f>IF(ISNUMBER((Datos!N16-Datos!X16)/Datos!X16),(Datos!N16-Datos!X16)/Datos!X16," - ")</f>
        <v>-0.94897959183673475</v>
      </c>
      <c r="H16" s="455">
        <f>IF(ISNUMBER(((NºAsuntos!G16/NºAsuntos!E16)-Datos!BD16)/Datos!BD16),((NºAsuntos!G16/NºAsuntos!E16)-Datos!BD16)/Datos!BD16," - ")</f>
        <v>7.7656675749318824E-2</v>
      </c>
      <c r="I16" s="456">
        <f>IF(ISNUMBER(((NºAsuntos!I16/NºAsuntos!G16)-Datos!BE16)/Datos!BE16),((NºAsuntos!I16/NºAsuntos!G16)-Datos!BE16)/Datos!BE16," - ")</f>
        <v>2.7162014230979747</v>
      </c>
      <c r="J16" s="461">
        <f>IF(ISNUMBER((('Resol  Asuntos'!D16/NºAsuntos!G16)-Datos!BF16)/Datos!BF16),(('Resol  Asuntos'!D16/NºAsuntos!G16)-Datos!BF16)/Datos!BF16," - ")</f>
        <v>3.6723163841807939E-2</v>
      </c>
      <c r="K16" s="462">
        <f>IF(ISNUMBER((((NºAsuntos!C16+NºAsuntos!E16)/NºAsuntos!G16)-Datos!BG16)/Datos!BG16),(((NºAsuntos!C16+NºAsuntos!E16)/NºAsuntos!G16)-Datos!BG16)/Datos!BG16," - ")</f>
        <v>1.654385709431581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0.99065420560747663</v>
      </c>
      <c r="C17" s="456">
        <f>IF(ISNUMBER(
   IF(D_I="SI",(Datos!J17-Datos!T17)/Datos!T17,(Datos!J17+Datos!AD17-(Datos!T17+Datos!AL17))/(Datos!T17+Datos!AL17))
     ),IF(D_I="SI",(Datos!J17-Datos!T17)/Datos!T17,(Datos!J17+Datos!AD17-(Datos!T17+Datos!AL17))/(Datos!T17+Datos!AL17))," - ")</f>
        <v>0.22330097087378642</v>
      </c>
      <c r="D17" s="456">
        <f>IF(ISNUMBER(
   IF(D_I="SI",(Datos!K17-Datos!U17)/Datos!U17,(Datos!K17+Datos!AE17-(Datos!U17+Datos!AM17))/(Datos!U17+Datos!AM17))
     ),IF(D_I="SI",(Datos!K17-Datos!U17)/Datos!U17,(Datos!K17+Datos!AE17-(Datos!U17+Datos!AM17))/(Datos!U17+Datos!AM17))," - ")</f>
        <v>0.32183908045977011</v>
      </c>
      <c r="E17" s="456">
        <f>IF(ISNUMBER(
   IF(D_I="SI",(Datos!L17-Datos!V17)/Datos!V17,(Datos!L17+Datos!AF17-(Datos!V17+Datos!AN17))/(Datos!V17+Datos!AN17))
     ),IF(D_I="SI",(Datos!L17-Datos!V17)/Datos!V17,(Datos!L17+Datos!AF17-(Datos!V17+Datos!AN17))/(Datos!V17+Datos!AN17))," - ")</f>
        <v>0.82113821138211385</v>
      </c>
      <c r="F17" s="456">
        <f>IF(ISNUMBER((Datos!M17-Datos!W17)/Datos!W17),(Datos!M17-Datos!W17)/Datos!W17," - ")</f>
        <v>-0.65217391304347827</v>
      </c>
      <c r="G17" s="457">
        <f>IF(ISNUMBER((Datos!N17-Datos!X17)/Datos!X17),(Datos!N17-Datos!X17)/Datos!X17," - ")</f>
        <v>0.52</v>
      </c>
      <c r="H17" s="455">
        <f>IF(ISNUMBER(((NºAsuntos!G17/NºAsuntos!E17)-Datos!BD17)/Datos!BD17),((NºAsuntos!G17/NºAsuntos!E17)-Datos!BD17)/Datos!BD17," - ")</f>
        <v>8.055099434409782E-2</v>
      </c>
      <c r="I17" s="456">
        <f>IF(ISNUMBER(((NºAsuntos!I17/NºAsuntos!G17)-Datos!BE17)/Datos!BE17),((NºAsuntos!I17/NºAsuntos!G17)-Datos!BE17)/Datos!BE17," - ")</f>
        <v>0.37773064687168623</v>
      </c>
      <c r="J17" s="461">
        <f>IF(ISNUMBER((('Resol  Asuntos'!D17/NºAsuntos!G17)-Datos!BF17)/Datos!BF17),(('Resol  Asuntos'!D17/NºAsuntos!G17)-Datos!BF17)/Datos!BF17," - ")</f>
        <v>-0.73686200378071842</v>
      </c>
      <c r="K17" s="462">
        <f>IF(ISNUMBER((((NºAsuntos!C17+NºAsuntos!E17)/NºAsuntos!G17)-Datos!BG17)/Datos!BG17),(((NºAsuntos!C17+NºAsuntos!E17)/NºAsuntos!G17)-Datos!BG17)/Datos!BG17," - ")</f>
        <v>0.22124223602484469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0.62404975812024877</v>
      </c>
      <c r="C18" s="855">
        <f>IF(ISNUMBER(
   IF(Criterios!B14="SI",(Datos!J18-Datos!T18)/Datos!T18,(Datos!J18+Datos!AD18-(Datos!T18+Datos!AL18))/(Datos!T18+Datos!AL18))
     ),IF(Criterios!B14="SI",(Datos!J18-Datos!T18)/Datos!T18,(Datos!J18+Datos!AD18-(Datos!T18+Datos!AL18))/(Datos!T18+Datos!AL18))," - ")</f>
        <v>1.7608217168011739E-2</v>
      </c>
      <c r="D18" s="855">
        <f>IF(ISNUMBER(
   IF(Criterios!B14="SI",(Datos!K18-Datos!U18)/Datos!U18,(Datos!K18+Datos!AE18-(Datos!U18+Datos!AM18))/(Datos!U18+Datos!AM18))
     ),IF(Criterios!B14="SI",(Datos!K18-Datos!U18)/Datos!U18,(Datos!K18+Datos!AE18-(Datos!U18+Datos!AM18))/(Datos!U18+Datos!AM18))," - ")</f>
        <v>0.20857863751051303</v>
      </c>
      <c r="E18" s="855">
        <f>IF(ISNUMBER(
   IF(Criterios!B14="SI",(Datos!L18-Datos!V18)/Datos!V18,(Datos!L18+Datos!AF18-(Datos!V18+Datos!AN18))/(Datos!V18+Datos!AN18))
     ),IF(Criterios!B14="SI",(Datos!L18-Datos!V18)/Datos!V18,(Datos!L18+Datos!AF18-(Datos!V18+Datos!AN18))/(Datos!V18+Datos!AN18))," - ")</f>
        <v>0.43360098826436072</v>
      </c>
      <c r="F18" s="856">
        <f>IF(ISNUMBER((Datos!M18-Datos!W18)/Datos!W18),(Datos!M18-Datos!W18)/Datos!W18," - ")</f>
        <v>0.32500000000000001</v>
      </c>
      <c r="G18" s="857">
        <f>IF(ISNUMBER((Datos!N18-Datos!X18)/Datos!X18),(Datos!N18-Datos!X18)/Datos!X18," - ")</f>
        <v>0.14694408322496749</v>
      </c>
      <c r="H18" s="857">
        <f>IF(ISNUMBER(((NºAsuntos!G18/NºAsuntos!E18)-Datos!BD18)/Datos!BD18),((NºAsuntos!G18/NºAsuntos!E18)-Datos!BD18)/Datos!BD18," - ")</f>
        <v>0.18766595740939393</v>
      </c>
      <c r="I18" s="857">
        <f>IF(ISNUMBER(((NºAsuntos!I18/NºAsuntos!G18)-Datos!BE18)/Datos!BE18),((NºAsuntos!I18/NºAsuntos!G18)-Datos!BE18)/Datos!BE18," - ")</f>
        <v>0.186187595717693</v>
      </c>
      <c r="J18" s="857">
        <f>IF(ISNUMBER((('Resol  Asuntos'!D18/NºAsuntos!G18)-Datos!BF18)/Datos!BF18),(('Resol  Asuntos'!D18/NºAsuntos!G18)-Datos!BF18)/Datos!BF18," - ")</f>
        <v>9.6329157967988827E-2</v>
      </c>
      <c r="K18" s="857">
        <f>IF(ISNUMBER((((NºAsuntos!C18+NºAsuntos!E18)/NºAsuntos!G18)-Datos!BG18)/Datos!BG18),(((NºAsuntos!C18+NºAsuntos!E18)/NºAsuntos!G18)-Datos!BG18)/Datos!BG18," - ")</f>
        <v>0.10037791266403658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0.56418383518225035</v>
      </c>
      <c r="C19" s="802">
        <f>IF(ISNUMBER(
   IF(J_V="SI",(Datos!J19-Datos!T19)/Datos!T19,(Datos!J19+Datos!Z19-(Datos!T19+Datos!AH19))/(Datos!T19+Datos!AH19))
     ),IF(J_V="SI",(Datos!J19-Datos!T19)/Datos!T19,(Datos!J19+Datos!Z19-(Datos!T19+Datos!AH19))/(Datos!T19+Datos!AH19))," - ")</f>
        <v>0.51738317757009344</v>
      </c>
      <c r="D19" s="802">
        <f>IF(ISNUMBER(
   IF(J_V="SI",(Datos!K19-Datos!U19)/Datos!U19,(Datos!K19+Datos!AA19-(Datos!U19+Datos!AI19))/(Datos!U19+Datos!AI19))
     ),IF(J_V="SI",(Datos!K19-Datos!U19)/Datos!U19,(Datos!K19+Datos!AA19-(Datos!U19+Datos!AI19))/(Datos!U19+Datos!AI19))," - ")</f>
        <v>0.20452911574406901</v>
      </c>
      <c r="E19" s="802">
        <f>IF(ISNUMBER(
   IF(J_V="SI",(Datos!L19-Datos!V19)/Datos!V19,(Datos!L19+Datos!AB19-(Datos!V19+Datos!AJ19))/(Datos!V19+Datos!AJ19))
     ),IF(J_V="SI",(Datos!L19-Datos!V19)/Datos!V19,(Datos!L19+Datos!AB19-(Datos!V19+Datos!AJ19))/(Datos!V19+Datos!AJ19))," - ")</f>
        <v>0.80390561432058583</v>
      </c>
      <c r="F19" s="803">
        <f>IF(ISNUMBER((Datos!M19-Datos!W19)/Datos!W19),(Datos!M19-Datos!W19)/Datos!W19," - ")</f>
        <v>0.50828729281767959</v>
      </c>
      <c r="G19" s="804">
        <f>IF(ISNUMBER((Datos!N19-Datos!X19)/Datos!X19),(Datos!N19-Datos!X19)/Datos!X19," - ")</f>
        <v>0.13281853281853281</v>
      </c>
      <c r="H19" s="805">
        <f>IF(ISNUMBER((Tasas!B19-Datos!BD19)/Datos!BD19),(Tasas!B19-Datos!BD19)/Datos!BD19," - ")</f>
        <v>-0.20617999886292573</v>
      </c>
      <c r="I19" s="806">
        <f>IF(ISNUMBER((Tasas!C19-Datos!BE19)/Datos!BE19),(Tasas!C19-Datos!BE19)/Datos!BE19," - ")</f>
        <v>0.4976023333452313</v>
      </c>
      <c r="J19" s="807">
        <f>IF(ISNUMBER((Tasas!D19-Datos!BF19)/Datos!BF19),(Tasas!D19-Datos!BF19)/Datos!BF19," - ")</f>
        <v>-8.8429283978586626E-3</v>
      </c>
      <c r="K19" s="807">
        <f>IF(ISNUMBER((Tasas!E19-Datos!BG19)/Datos!BG19),(Tasas!E19-Datos!BG19)/Datos!BG19," - ")</f>
        <v>0.2824989327189637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w8lWKWZE67keG8CmbGceeEbg89IByWNXpc5fSn+AIPL3tLtUatPe/TdI7UFNM1VgNhfupL04reKOi5C71rmA==" saltValue="jB1Efta8tOQSxe/weix3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PONFERRADA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0.70394238059135705</v>
      </c>
      <c r="C9" s="443">
        <f>IF(ISNUMBER(NºAsuntos!I9/NºAsuntos!G9),NºAsuntos!I9/NºAsuntos!G9," - ")</f>
        <v>2.2843295638126011</v>
      </c>
      <c r="D9" s="444">
        <f>IF(ISNUMBER('Resol  Asuntos'!D9/NºAsuntos!G9),'Resol  Asuntos'!D9/NºAsuntos!G9," - ")</f>
        <v>0.31340872374798062</v>
      </c>
      <c r="E9" s="445">
        <f>IF(ISNUMBER((NºAsuntos!C9+NºAsuntos!E9)/NºAsuntos!G9),(NºAsuntos!C9+NºAsuntos!E9)/NºAsuntos!G9," - ")</f>
        <v>3.2843295638126011</v>
      </c>
      <c r="G9" s="463"/>
    </row>
    <row r="10" spans="1:7">
      <c r="A10" s="402" t="str">
        <f>Datos!A10</f>
        <v>Jdos. Violencia contra la mujer</v>
      </c>
      <c r="B10" s="442">
        <f>IF(ISNUMBER(NºAsuntos!G10/NºAsuntos!E10),NºAsuntos!G10/NºAsuntos!E10," - ")</f>
        <v>1.0526315789473684</v>
      </c>
      <c r="C10" s="443">
        <f>IF(ISNUMBER(NºAsuntos!I10/NºAsuntos!G10),NºAsuntos!I10/NºAsuntos!G10," - ")</f>
        <v>1.1499999999999999</v>
      </c>
      <c r="D10" s="444">
        <f>IF(ISNUMBER('Resol  Asuntos'!D10/NºAsuntos!G10),'Resol  Asuntos'!D10/NºAsuntos!G10," - ")</f>
        <v>0.65</v>
      </c>
      <c r="E10" s="445">
        <f>IF(ISNUMBER((NºAsuntos!C10+NºAsuntos!E10)/NºAsuntos!G10),(NºAsuntos!C10+NºAsuntos!E10)/NºAsuntos!G10," - ")</f>
        <v>2.15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2.4666666666666668</v>
      </c>
      <c r="C12" s="443">
        <f>IF(ISNUMBER(NºAsuntos!I12/NºAsuntos!G12),NºAsuntos!I12/NºAsuntos!G12," - ")</f>
        <v>1.7567567567567568</v>
      </c>
      <c r="D12" s="444">
        <f>IF(ISNUMBER('Resol  Asuntos'!D12/NºAsuntos!G12),'Resol  Asuntos'!D12/NºAsuntos!G12," - ")</f>
        <v>0.32432432432432434</v>
      </c>
      <c r="E12" s="445">
        <f>IF(ISNUMBER((NºAsuntos!C12+NºAsuntos!E12)/NºAsuntos!G12),(NºAsuntos!C12+NºAsuntos!E12)/NºAsuntos!G12," - ")</f>
        <v>2.7567567567567566</v>
      </c>
      <c r="G12" s="463"/>
    </row>
    <row r="13" spans="1:7" ht="14.25" thickTop="1" thickBot="1">
      <c r="A13" s="848" t="str">
        <f>Datos!A13</f>
        <v>TOTAL</v>
      </c>
      <c r="B13" s="858">
        <f>IF(ISNUMBER(NºAsuntos!G13/NºAsuntos!E13),NºAsuntos!G13/NºAsuntos!E13," - ")</f>
        <v>0.7163173652694611</v>
      </c>
      <c r="C13" s="859">
        <f>IF(ISNUMBER(NºAsuntos!I13/NºAsuntos!G13),NºAsuntos!I13/NºAsuntos!G13," - ")</f>
        <v>2.2622779519331244</v>
      </c>
      <c r="D13" s="860">
        <f>IF(ISNUMBER('Resol  Asuntos'!D13/NºAsuntos!G13),'Resol  Asuntos'!D13/NºAsuntos!G13," - ")</f>
        <v>0.31713688610240337</v>
      </c>
      <c r="E13" s="861">
        <f>IF(ISNUMBER((NºAsuntos!C13+NºAsuntos!E13)/NºAsuntos!G13),(NºAsuntos!C13+NºAsuntos!E13)/NºAsuntos!G13," - ")</f>
        <v>3.2622779519331244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1.0248198558847077</v>
      </c>
      <c r="C15" s="443">
        <f>IF(ISNUMBER(NºAsuntos!I15/NºAsuntos!G15),NºAsuntos!I15/NºAsuntos!G15," - ")</f>
        <v>1.4359375000000001</v>
      </c>
      <c r="D15" s="444">
        <f>IF(ISNUMBER('Resol  Asuntos'!D15/NºAsuntos!G15),'Resol  Asuntos'!D15/NºAsuntos!G15," - ")</f>
        <v>0.15390624999999999</v>
      </c>
      <c r="E15" s="445">
        <f>IF(ISNUMBER((NºAsuntos!C15+NºAsuntos!E15)/NºAsuntos!G15),(NºAsuntos!C15+NºAsuntos!E15)/NºAsuntos!G15," - ")</f>
        <v>2.421875</v>
      </c>
      <c r="G15" s="463"/>
    </row>
    <row r="16" spans="1:7">
      <c r="A16" s="402" t="str">
        <f>Datos!A16</f>
        <v xml:space="preserve">Jdos. 1ª Instª. e Instr.                        </v>
      </c>
      <c r="B16" s="442">
        <f>IF(ISNUMBER(NºAsuntos!G16/NºAsuntos!E16),NºAsuntos!G16/NºAsuntos!E16," - ")</f>
        <v>3.5</v>
      </c>
      <c r="C16" s="443">
        <f>IF(ISNUMBER(NºAsuntos!I16/NºAsuntos!G16),NºAsuntos!I16/NºAsuntos!G16," - ")</f>
        <v>6.166666666666667</v>
      </c>
      <c r="D16" s="444">
        <f>IF(ISNUMBER('Resol  Asuntos'!D16/NºAsuntos!G16),'Resol  Asuntos'!D16/NºAsuntos!G16," - ")</f>
        <v>0.16666666666666666</v>
      </c>
      <c r="E16" s="445">
        <f>IF(ISNUMBER((NºAsuntos!C16+NºAsuntos!E16)/NºAsuntos!G16),(NºAsuntos!C16+NºAsuntos!E16)/NºAsuntos!G16," - ")</f>
        <v>7.0952380952380949</v>
      </c>
      <c r="G16" s="463"/>
    </row>
    <row r="17" spans="1:7" ht="13.5" thickBot="1">
      <c r="A17" s="402" t="str">
        <f>Datos!A17</f>
        <v>Jdos. Violencia contra la mujer</v>
      </c>
      <c r="B17" s="442">
        <f>IF(ISNUMBER(NºAsuntos!G17/NºAsuntos!E17),NºAsuntos!G17/NºAsuntos!E17," - ")</f>
        <v>0.91269841269841268</v>
      </c>
      <c r="C17" s="443">
        <f>IF(ISNUMBER(NºAsuntos!I17/NºAsuntos!G17),NºAsuntos!I17/NºAsuntos!G17," - ")</f>
        <v>1.9478260869565218</v>
      </c>
      <c r="D17" s="444">
        <f>IF(ISNUMBER('Resol  Asuntos'!D17/NºAsuntos!G17),'Resol  Asuntos'!D17/NºAsuntos!G17," - ")</f>
        <v>6.9565217391304349E-2</v>
      </c>
      <c r="E17" s="445">
        <f>IF(ISNUMBER((NºAsuntos!C17+NºAsuntos!E17)/NºAsuntos!G17),(NºAsuntos!C17+NºAsuntos!E17)/NºAsuntos!G17," - ")</f>
        <v>2.9478260869565216</v>
      </c>
      <c r="G17" s="463"/>
    </row>
    <row r="18" spans="1:7" ht="14.25" thickTop="1" thickBot="1">
      <c r="A18" s="848" t="str">
        <f>Datos!A18</f>
        <v>TOTAL</v>
      </c>
      <c r="B18" s="858">
        <f>IF(ISNUMBER(NºAsuntos!G18/NºAsuntos!E18),NºAsuntos!G18/NºAsuntos!E18," - ")</f>
        <v>1.0360490266762798</v>
      </c>
      <c r="C18" s="859">
        <f>IF(ISNUMBER(NºAsuntos!I18/NºAsuntos!G18),NºAsuntos!I18/NºAsuntos!G18," - ")</f>
        <v>1.615170494084899</v>
      </c>
      <c r="D18" s="862">
        <f>IF(ISNUMBER('Resol  Asuntos'!D18/NºAsuntos!G18),'Resol  Asuntos'!D18/NºAsuntos!G18," - ")</f>
        <v>0.14752957550452331</v>
      </c>
      <c r="E18" s="861">
        <f>IF(ISNUMBER((NºAsuntos!C18+NºAsuntos!E18)/NºAsuntos!G18),(NºAsuntos!C18+NºAsuntos!E18)/NºAsuntos!G18," - ")</f>
        <v>2.6005567153792621</v>
      </c>
      <c r="G18" s="463"/>
    </row>
    <row r="19" spans="1:7" ht="15.75" customHeight="1" thickTop="1" thickBot="1">
      <c r="A19" s="793" t="str">
        <f>Datos!A19</f>
        <v>TOTAL JURISDICCIONES</v>
      </c>
      <c r="B19" s="808">
        <f>IF(ISNUMBER(NºAsuntos!G19/NºAsuntos!E19),NºAsuntos!G19/NºAsuntos!E19," - ")</f>
        <v>0.82557280118255727</v>
      </c>
      <c r="C19" s="809">
        <f>IF(ISNUMBER(NºAsuntos!I19/NºAsuntos!G19),NºAsuntos!I19/NºAsuntos!G19," - ")</f>
        <v>1.9847806624888094</v>
      </c>
      <c r="D19" s="810">
        <f>IF(ISNUMBER('Resol  Asuntos'!D19/NºAsuntos!G19),'Resol  Asuntos'!D19/NºAsuntos!G19," - ")</f>
        <v>0.24440465532676814</v>
      </c>
      <c r="E19" s="811">
        <f>IF(ISNUMBER((NºAsuntos!C19+NºAsuntos!E19)/NºAsuntos!G19),(NºAsuntos!C19+NºAsuntos!E19)/NºAsuntos!G19," - ")</f>
        <v>2.9785138764547896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tGN4gtF2zFO5P6ZUF5LNjANHAvMjl+UKpQBBPDJkxIL8QznZQJbofB9iN6wm1hL8IPCv2fdqOoK709MhRzUOA==" saltValue="zXlYO+V2Vp+uJUQUTRXu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PONFERRADA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398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180</v>
      </c>
      <c r="Y9" s="334">
        <f>SUM(W9:X9)</f>
        <v>180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4326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582</v>
      </c>
      <c r="AJ9" s="229" t="str">
        <f>IF(ISNUMBER(Datos!BW9),Datos!BW9," - ")</f>
        <v xml:space="preserve"> - </v>
      </c>
      <c r="AK9" s="228" t="str">
        <f>IF(ISNUMBER(Datos!BX9),Datos!BX9," - ")</f>
        <v xml:space="preserve"> - </v>
      </c>
      <c r="AL9" s="243">
        <f>IF(ISNUMBER(NºAsuntos!G9/NºAsuntos!E9),NºAsuntos!G9/NºAsuntos!E9," - ")</f>
        <v>0.70394238059135705</v>
      </c>
      <c r="AM9" s="260">
        <f>IF(ISNUMBER(((NºAsuntos!I9/NºAsuntos!G9)*11)/factor_trimestre),((NºAsuntos!I9/NºAsuntos!G9)*11)/factor_trimestre," - ")</f>
        <v>6.8529886914378038</v>
      </c>
      <c r="AN9" s="244">
        <f>IF(ISNUMBER('Resol  Asuntos'!D9/NºAsuntos!G9),'Resol  Asuntos'!D9/NºAsuntos!G9," - ")</f>
        <v>0.31340872374798062</v>
      </c>
      <c r="AO9" s="245">
        <f>IF(ISNUMBER((NºAsuntos!C9+NºAsuntos!E9)/NºAsuntos!G9),(NºAsuntos!C9+NºAsuntos!E9)/NºAsuntos!G9," - ")</f>
        <v>3.2843295638126011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3</v>
      </c>
      <c r="Y10" s="334">
        <f t="shared" ref="Y10:Y12" si="0">SUM(W10:X10)</f>
        <v>23</v>
      </c>
      <c r="Z10" s="335" t="str">
        <f>IF(ISNUMBER(Datos!CC10),Datos!CC10," - ")</f>
        <v xml:space="preserve"> - </v>
      </c>
      <c r="AA10" s="332">
        <f>IF(ISNUMBER(Datos!L10),Datos!L10,"-")</f>
        <v>23</v>
      </c>
      <c r="AB10" s="334">
        <f>IF(ISNUMBER(Datos!R10),Datos!R10," - ")</f>
        <v>45</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1.0526315789473684</v>
      </c>
      <c r="AM10" s="260">
        <f>IF(ISNUMBER(((NºAsuntos!I10/NºAsuntos!G10)*11)/factor_trimestre),((NºAsuntos!I10/NºAsuntos!G10)*11)/factor_trimestre," - ")</f>
        <v>3.4499999999999997</v>
      </c>
      <c r="AN10" s="244">
        <f>IF(ISNUMBER('Resol  Asuntos'!D10/NºAsuntos!G10),'Resol  Asuntos'!D10/NºAsuntos!G10," - ")</f>
        <v>0.65</v>
      </c>
      <c r="AO10" s="245">
        <f>IF(ISNUMBER((NºAsuntos!C10+NºAsuntos!E10)/NºAsuntos!G10),(NºAsuntos!C10+NºAsuntos!E10)/NºAsuntos!G10," - ")</f>
        <v>2.15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v>
      </c>
      <c r="Y12" s="334">
        <f t="shared" si="0"/>
        <v>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v>
      </c>
      <c r="AJ12" s="229" t="str">
        <f>IF(ISNUMBER(Datos!BW12),Datos!BW12," - ")</f>
        <v xml:space="preserve"> - </v>
      </c>
      <c r="AK12" s="228" t="str">
        <f>IF(ISNUMBER(Datos!BX12),Datos!BX12," - ")</f>
        <v xml:space="preserve"> - </v>
      </c>
      <c r="AL12" s="243">
        <f>IF(ISNUMBER(NºAsuntos!G12/NºAsuntos!E12),NºAsuntos!G12/NºAsuntos!E12," - ")</f>
        <v>2.4666666666666668</v>
      </c>
      <c r="AM12" s="260">
        <f>IF(ISNUMBER(((NºAsuntos!I12/NºAsuntos!G12)*11)/factor_trimestre),((NºAsuntos!I12/NºAsuntos!G12)*11)/factor_trimestre," - ")</f>
        <v>5.2702702702702711</v>
      </c>
      <c r="AN12" s="244">
        <f>IF(ISNUMBER('Resol  Asuntos'!D12/NºAsuntos!G12),'Resol  Asuntos'!D12/NºAsuntos!G12," - ")</f>
        <v>0.32432432432432434</v>
      </c>
      <c r="AO12" s="245">
        <f>IF(ISNUMBER((NºAsuntos!C12+NºAsuntos!E12)/NºAsuntos!G12),(NºAsuntos!C12+NºAsuntos!E12)/NºAsuntos!G12," - ")</f>
        <v>2.7567567567567566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24</v>
      </c>
      <c r="G13" s="866">
        <f t="shared" si="3"/>
        <v>24</v>
      </c>
      <c r="H13" s="865">
        <f t="shared" si="3"/>
        <v>0</v>
      </c>
      <c r="I13" s="867">
        <f t="shared" si="3"/>
        <v>0</v>
      </c>
      <c r="J13" s="867">
        <f t="shared" si="3"/>
        <v>0</v>
      </c>
      <c r="K13" s="867">
        <f t="shared" si="3"/>
        <v>0</v>
      </c>
      <c r="L13" s="867">
        <f t="shared" si="3"/>
        <v>402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227</v>
      </c>
      <c r="Y13" s="868">
        <f t="shared" si="4"/>
        <v>247</v>
      </c>
      <c r="Z13" s="868">
        <f t="shared" si="4"/>
        <v>0</v>
      </c>
      <c r="AA13" s="868">
        <f t="shared" si="4"/>
        <v>23</v>
      </c>
      <c r="AB13" s="868">
        <f t="shared" si="4"/>
        <v>6252</v>
      </c>
      <c r="AC13" s="868">
        <f t="shared" si="4"/>
        <v>68</v>
      </c>
      <c r="AD13" s="868">
        <f t="shared" si="4"/>
        <v>0</v>
      </c>
      <c r="AE13" s="872">
        <f t="shared" si="4"/>
        <v>0</v>
      </c>
      <c r="AF13" s="865">
        <f t="shared" si="4"/>
        <v>0</v>
      </c>
      <c r="AG13" s="873">
        <f t="shared" si="4"/>
        <v>0</v>
      </c>
      <c r="AH13" s="870">
        <f t="shared" si="4"/>
        <v>0</v>
      </c>
      <c r="AI13" s="865">
        <f t="shared" si="4"/>
        <v>607</v>
      </c>
      <c r="AJ13" s="867">
        <f t="shared" si="4"/>
        <v>0</v>
      </c>
      <c r="AK13" s="870">
        <f>SUBTOTAL(9,AK9:AK12)</f>
        <v>0</v>
      </c>
      <c r="AL13" s="874">
        <f>IF(ISNUMBER(NºAsuntos!G13/NºAsuntos!E13),NºAsuntos!G13/NºAsuntos!E13," - ")</f>
        <v>0.7163173652694611</v>
      </c>
      <c r="AM13" s="874">
        <f>IF(ISNUMBER(((NºAsuntos!I13/NºAsuntos!G13)*11)/factor_trimestre),((NºAsuntos!I13/NºAsuntos!G13)*11)/factor_trimestre," - ")</f>
        <v>6.7868338557993733</v>
      </c>
      <c r="AN13" s="875">
        <f>IF(ISNUMBER('Resol  Asuntos'!D13/NºAsuntos!G13),'Resol  Asuntos'!D13/NºAsuntos!G13," - ")</f>
        <v>0.31713688610240337</v>
      </c>
      <c r="AO13" s="876">
        <f>IF(ISNUMBER((NºAsuntos!C13+NºAsuntos!E13)/NºAsuntos!G13),(NºAsuntos!C13+NºAsuntos!E13)/NºAsuntos!G13," - ")</f>
        <v>3.2622779519331244</v>
      </c>
      <c r="AP13" s="877" t="str">
        <f t="shared" si="2"/>
        <v xml:space="preserve"> - </v>
      </c>
      <c r="AQ13" s="877">
        <f>IF(ISNUMBER((H13-W13+K13)/(F13)),(H13-W13+K13)/(F13)," - ")</f>
        <v>-0.83333333333333337</v>
      </c>
      <c r="AR13" s="878">
        <f>IF(ISNUMBER((Datos!P13-Datos!Q13)/(Datos!R13-Datos!P13+Datos!Q13)),(Datos!P13-Datos!Q13)/(Datos!R13-Datos!P13+Datos!Q13)," - ")</f>
        <v>2.879710383412868E-2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1869</v>
      </c>
      <c r="G15" s="333">
        <f>IF(ISNUMBER(IF(D_I="SI",Datos!I15,Datos!I15+Datos!AC15)),IF(D_I="SI",Datos!I15,Datos!I15+Datos!AC15)," - ")</f>
        <v>1851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1280</v>
      </c>
      <c r="X15" s="226">
        <f>IF(ISNUMBER(Datos!Q15),Datos!Q15," - ")</f>
        <v>28</v>
      </c>
      <c r="Y15" s="334">
        <f>SUM(W15)</f>
        <v>1280</v>
      </c>
      <c r="Z15" s="335" t="str">
        <f>IF(ISNUMBER(Datos!CC15),Datos!CC15," - ")</f>
        <v xml:space="preserve"> - </v>
      </c>
      <c r="AA15" s="332">
        <f>IF(ISNUMBER(IF(D_I="SI",Datos!L15,Datos!L15+Datos!AF15)),IF(D_I="SI",Datos!L15,Datos!L15+Datos!AF15)," - ")</f>
        <v>1838</v>
      </c>
      <c r="AB15" s="334">
        <f>IF(ISNUMBER(Datos!R15),Datos!R15," - ")</f>
        <v>242</v>
      </c>
      <c r="AC15" s="334">
        <f t="shared" ref="AC15:AC17" si="6">IF(ISNUMBER(AA15+AB15),AA15+AB15," - ")</f>
        <v>2080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197</v>
      </c>
      <c r="AJ15" s="231" t="str">
        <f>IF(ISNUMBER(Datos!BW15),Datos!BW15," - ")</f>
        <v xml:space="preserve"> - </v>
      </c>
      <c r="AK15" s="232" t="str">
        <f>IF(ISNUMBER(Datos!BX15),Datos!BX15," - ")</f>
        <v xml:space="preserve"> - </v>
      </c>
      <c r="AL15" s="243">
        <f>IF(ISNUMBER(NºAsuntos!G15/NºAsuntos!E15),NºAsuntos!G15/NºAsuntos!E15," - ")</f>
        <v>1.0248198558847077</v>
      </c>
      <c r="AM15" s="260">
        <f>IF(ISNUMBER(((NºAsuntos!I15/NºAsuntos!G15)*11)/factor_trimestre),((NºAsuntos!I15/NºAsuntos!G15)*11)/factor_trimestre," - ")</f>
        <v>4.3078125000000007</v>
      </c>
      <c r="AN15" s="244">
        <f>IF(ISNUMBER('Resol  Asuntos'!D15/NºAsuntos!G15),'Resol  Asuntos'!D15/NºAsuntos!G15," - ")</f>
        <v>0.15390624999999999</v>
      </c>
      <c r="AO15" s="245">
        <f>IF(ISNUMBER((NºAsuntos!C15+NºAsuntos!E15)/NºAsuntos!G15),(NºAsuntos!C15+NºAsuntos!E15)/NºAsuntos!G15," - ")</f>
        <v>2.421875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289</v>
      </c>
      <c r="G16" s="333">
        <f>IF(ISNUMBER(IF(D_I="SI",Datos!I16,Datos!I16+Datos!AC16)),IF(D_I="SI",Datos!I16,Datos!I16+Datos!AC16)," - ")</f>
        <v>286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v>
      </c>
      <c r="X16" s="226">
        <f>IF(ISNUMBER(Datos!Q16),Datos!Q16," - ")</f>
        <v>6</v>
      </c>
      <c r="Y16" s="334">
        <f t="shared" ref="Y16:Y17" si="7">SUM(W16:X16)</f>
        <v>48</v>
      </c>
      <c r="Z16" s="335" t="str">
        <f>IF(ISNUMBER(Datos!CC16),Datos!CC16," - ")</f>
        <v xml:space="preserve"> - </v>
      </c>
      <c r="AA16" s="332">
        <f>IF(ISNUMBER(IF(D_I="SI",Datos!L16,Datos!L16+Datos!AF16)),IF(D_I="SI",Datos!L16,Datos!L16+Datos!AF16)," - ")</f>
        <v>259</v>
      </c>
      <c r="AB16" s="334">
        <f>IF(ISNUMBER(Datos!R16),Datos!R16," - ")</f>
        <v>0</v>
      </c>
      <c r="AC16" s="334">
        <f t="shared" si="6"/>
        <v>259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v>
      </c>
      <c r="AJ16" s="231" t="str">
        <f>IF(ISNUMBER(Datos!BW16),Datos!BW16," - ")</f>
        <v xml:space="preserve"> - </v>
      </c>
      <c r="AK16" s="232" t="str">
        <f>IF(ISNUMBER(Datos!BX16),Datos!BX16," - ")</f>
        <v xml:space="preserve"> - </v>
      </c>
      <c r="AL16" s="243">
        <f>IF(ISNUMBER(NºAsuntos!G16/NºAsuntos!E16),NºAsuntos!G16/NºAsuntos!E16," - ")</f>
        <v>3.5</v>
      </c>
      <c r="AM16" s="260">
        <f>IF(ISNUMBER(((NºAsuntos!I16/NºAsuntos!G16)*11)/factor_trimestre),((NºAsuntos!I16/NºAsuntos!G16)*11)/factor_trimestre," - ")</f>
        <v>18.500000000000004</v>
      </c>
      <c r="AN16" s="244">
        <f>IF(ISNUMBER('Resol  Asuntos'!D16/NºAsuntos!G16),'Resol  Asuntos'!D16/NºAsuntos!G16," - ")</f>
        <v>0.16666666666666666</v>
      </c>
      <c r="AO16" s="245">
        <f>IF(ISNUMBER((NºAsuntos!C16+NºAsuntos!E16)/NºAsuntos!G16),(NºAsuntos!C16+NºAsuntos!E16)/NºAsuntos!G16," - ")</f>
        <v>7.0952380952380949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115</v>
      </c>
      <c r="X17" s="226">
        <f>IF(ISNUMBER(Datos!Q17),Datos!Q17," - ")</f>
        <v>6</v>
      </c>
      <c r="Y17" s="334">
        <f t="shared" si="7"/>
        <v>121</v>
      </c>
      <c r="Z17" s="335" t="str">
        <f>IF(ISNUMBER(Datos!CC17),Datos!CC17," - ")</f>
        <v xml:space="preserve"> - </v>
      </c>
      <c r="AA17" s="332">
        <f>IF(ISNUMBER(Datos!L17),Datos!L17,"-")</f>
        <v>224</v>
      </c>
      <c r="AB17" s="334">
        <f>IF(ISNUMBER(Datos!R17),Datos!R17," - ")</f>
        <v>1</v>
      </c>
      <c r="AC17" s="334">
        <f t="shared" si="6"/>
        <v>225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0.91269841269841268</v>
      </c>
      <c r="AM17" s="260">
        <f>IF(ISNUMBER(((NºAsuntos!I17/NºAsuntos!G17)*11)/factor_trimestre),((NºAsuntos!I17/NºAsuntos!G17)*11)/factor_trimestre," - ")</f>
        <v>5.8434782608695652</v>
      </c>
      <c r="AN17" s="244">
        <f>IF(ISNUMBER('Resol  Asuntos'!D17/NºAsuntos!G17),'Resol  Asuntos'!D17/NºAsuntos!G17," - ")</f>
        <v>6.9565217391304349E-2</v>
      </c>
      <c r="AO17" s="245">
        <f>IF(ISNUMBER((NºAsuntos!C17+NºAsuntos!E17)/NºAsuntos!G17),(NºAsuntos!C17+NºAsuntos!E17)/NºAsuntos!G17," - ")</f>
        <v>2.9478260869565216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2158</v>
      </c>
      <c r="G18" s="866">
        <f>SUBTOTAL(9,G15:G17)</f>
        <v>2350</v>
      </c>
      <c r="H18" s="865">
        <f t="shared" ref="H18:O18" si="10">SUBTOTAL(9,H14:H17)</f>
        <v>0</v>
      </c>
      <c r="I18" s="867">
        <f t="shared" si="10"/>
        <v>0</v>
      </c>
      <c r="J18" s="867">
        <f t="shared" si="10"/>
        <v>0</v>
      </c>
      <c r="K18" s="867">
        <f t="shared" si="10"/>
        <v>0</v>
      </c>
      <c r="L18" s="867">
        <f t="shared" si="10"/>
        <v>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1437</v>
      </c>
      <c r="X18" s="867">
        <f t="shared" si="11"/>
        <v>40</v>
      </c>
      <c r="Y18" s="868">
        <f t="shared" si="11"/>
        <v>1449</v>
      </c>
      <c r="Z18" s="868">
        <f t="shared" si="11"/>
        <v>0</v>
      </c>
      <c r="AA18" s="868">
        <f t="shared" si="11"/>
        <v>2321</v>
      </c>
      <c r="AB18" s="868">
        <f t="shared" si="11"/>
        <v>243</v>
      </c>
      <c r="AC18" s="868">
        <f t="shared" si="11"/>
        <v>2564</v>
      </c>
      <c r="AD18" s="868">
        <f t="shared" si="11"/>
        <v>0</v>
      </c>
      <c r="AE18" s="872">
        <f t="shared" si="11"/>
        <v>0</v>
      </c>
      <c r="AF18" s="865">
        <f t="shared" si="11"/>
        <v>0</v>
      </c>
      <c r="AG18" s="873">
        <f t="shared" si="11"/>
        <v>0</v>
      </c>
      <c r="AH18" s="870">
        <f t="shared" si="11"/>
        <v>0</v>
      </c>
      <c r="AI18" s="865">
        <f t="shared" si="11"/>
        <v>212</v>
      </c>
      <c r="AJ18" s="867">
        <f t="shared" si="11"/>
        <v>0</v>
      </c>
      <c r="AK18" s="870">
        <f t="shared" si="11"/>
        <v>0</v>
      </c>
      <c r="AL18" s="874">
        <f>IF(ISNUMBER(NºAsuntos!G18/NºAsuntos!E18),NºAsuntos!G18/NºAsuntos!E18," - ")</f>
        <v>1.0360490266762798</v>
      </c>
      <c r="AM18" s="874">
        <f>IF(ISNUMBER(((NºAsuntos!I18/NºAsuntos!G18)*11)/factor_trimestre),((NºAsuntos!I18/NºAsuntos!G18)*11)/factor_trimestre," - ")</f>
        <v>4.8455114822546976</v>
      </c>
      <c r="AN18" s="875">
        <f>IF(ISNUMBER('Resol  Asuntos'!D18/NºAsuntos!G18),'Resol  Asuntos'!D18/NºAsuntos!G18," - ")</f>
        <v>0.14752957550452331</v>
      </c>
      <c r="AO18" s="876">
        <f>IF(ISNUMBER((NºAsuntos!C18+NºAsuntos!E18)/NºAsuntos!G18),(NºAsuntos!C18+NºAsuntos!E18)/NºAsuntos!G18," - ")</f>
        <v>2.6005567153792621</v>
      </c>
      <c r="AP18" s="877" t="str">
        <f t="shared" si="2"/>
        <v xml:space="preserve"> - </v>
      </c>
      <c r="AQ18" s="877">
        <f>IF(ISNUMBER((H18-W18+K18)/(F18)),(H18-W18+K18)/(F18)," - ")</f>
        <v>-0.66589434661723823</v>
      </c>
      <c r="AR18" s="878">
        <f>IF(ISNUMBER((Datos!P18-Datos!Q18)/(Datos!R18-Datos!P18+Datos!Q18)),(Datos!P18-Datos!Q18)/(Datos!R18-Datos!P18+Datos!Q18)," - ")</f>
        <v>8.9686098654708515E-2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2182</v>
      </c>
      <c r="G19" s="821">
        <f t="shared" si="13"/>
        <v>2374</v>
      </c>
      <c r="H19" s="820">
        <f t="shared" si="13"/>
        <v>0</v>
      </c>
      <c r="I19" s="822">
        <f t="shared" si="13"/>
        <v>0</v>
      </c>
      <c r="J19" s="822">
        <f t="shared" si="13"/>
        <v>0</v>
      </c>
      <c r="K19" s="881">
        <f t="shared" si="13"/>
        <v>0</v>
      </c>
      <c r="L19" s="822">
        <f t="shared" si="13"/>
        <v>462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1457</v>
      </c>
      <c r="X19" s="821">
        <f t="shared" si="14"/>
        <v>267</v>
      </c>
      <c r="Y19" s="828">
        <f t="shared" si="14"/>
        <v>1696</v>
      </c>
      <c r="Z19" s="828">
        <f t="shared" si="14"/>
        <v>0</v>
      </c>
      <c r="AA19" s="828">
        <f t="shared" si="14"/>
        <v>2344</v>
      </c>
      <c r="AB19" s="828">
        <f t="shared" si="14"/>
        <v>6495</v>
      </c>
      <c r="AC19" s="828">
        <f t="shared" si="14"/>
        <v>2632</v>
      </c>
      <c r="AD19" s="828">
        <f t="shared" si="14"/>
        <v>0</v>
      </c>
      <c r="AE19" s="830">
        <f t="shared" si="14"/>
        <v>0</v>
      </c>
      <c r="AF19" s="831">
        <f t="shared" si="14"/>
        <v>0</v>
      </c>
      <c r="AG19" s="832">
        <f t="shared" si="14"/>
        <v>0</v>
      </c>
      <c r="AH19" s="830">
        <f t="shared" si="14"/>
        <v>0</v>
      </c>
      <c r="AI19" s="820">
        <f t="shared" si="14"/>
        <v>819</v>
      </c>
      <c r="AJ19" s="820">
        <f t="shared" si="14"/>
        <v>0</v>
      </c>
      <c r="AK19" s="830">
        <f t="shared" si="14"/>
        <v>0</v>
      </c>
      <c r="AL19" s="884">
        <f>IF(ISNUMBER(NºAsuntos!G19/NºAsuntos!E19),NºAsuntos!G19/NºAsuntos!E19," - ")</f>
        <v>0.82557280118255727</v>
      </c>
      <c r="AM19" s="885">
        <f>IF(ISNUMBER(((NºAsuntos!I19/NºAsuntos!G19)*11)/factor_trimestre),((NºAsuntos!I19/NºAsuntos!G19)*11)/factor_trimestre," - ")</f>
        <v>5.9543419874664281</v>
      </c>
      <c r="AN19" s="885">
        <f>IF(ISNUMBER('Resol  Asuntos'!D19/NºAsuntos!G19),'Resol  Asuntos'!D19/NºAsuntos!G19," - ")</f>
        <v>0.24440465532676814</v>
      </c>
      <c r="AO19" s="886">
        <f>IF(ISNUMBER((NºAsuntos!C19+NºAsuntos!E19)/NºAsuntos!G19),(NºAsuntos!C19+NºAsuntos!E19)/NºAsuntos!G19," - ")</f>
        <v>2.9785138764547896</v>
      </c>
      <c r="AP19" s="887" t="str">
        <f t="shared" si="2"/>
        <v xml:space="preserve"> - </v>
      </c>
      <c r="AQ19" s="888">
        <f>IF(OR(ISNUMBER(FIND("01",Criterios!A8,1)),ISNUMBER(FIND("02",Criterios!A8,1)),ISNUMBER(FIND("03",Criterios!A8,1)),ISNUMBER(FIND("04",Criterios!A8,1))),(I19-W19+K19)/(F19-K19),(H19-W19+K19)/(F19-K19))</f>
        <v>-0.66773602199816684</v>
      </c>
      <c r="AR19" s="889">
        <f>IF(ISNUMBER((Datos!P19-Datos!Q19)/(Datos!R19-Datos!P19+Datos!Q19)),(Datos!P19-Datos!Q19)/(Datos!R19-Datos!P19+Datos!Q19)," - ")</f>
        <v>3.0952380952380953E-2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791.33333333333337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2.2236106773543889</v>
      </c>
      <c r="F21" s="252">
        <f>IF(ISNUMBER(STDEV(F8:F18)),STDEV(F8:F18),"-")</f>
        <v>1051.8910114645907</v>
      </c>
      <c r="G21" s="253">
        <f>IF(ISNUMBER(STDEV(G8:G18)),STDEV(G8:G18),"-")</f>
        <v>1031.4812003457293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678.81151041114981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255.22301172559992</v>
      </c>
      <c r="AJ21" s="252">
        <f t="shared" si="18"/>
        <v>0</v>
      </c>
      <c r="AK21" s="254">
        <f t="shared" si="18"/>
        <v>0</v>
      </c>
      <c r="AL21" s="249">
        <f t="shared" si="18"/>
        <v>1.008914993043722</v>
      </c>
      <c r="AM21" s="250">
        <f t="shared" si="18"/>
        <v>4.7978595529846793</v>
      </c>
      <c r="AN21" s="250">
        <f t="shared" si="18"/>
        <v>0.18155985330648658</v>
      </c>
      <c r="AO21" s="251">
        <f t="shared" si="18"/>
        <v>1.5768729841913238</v>
      </c>
      <c r="AP21" s="291" t="str">
        <f t="shared" si="18"/>
        <v>-</v>
      </c>
      <c r="AQ21" s="292">
        <f t="shared" si="18"/>
        <v>0.11839724294195486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q75az00iPRQokOegdKIeCRry0Nwnv3NqRjQibKx7XtlZ9i1L0aybbQmjhB8KweFgliH/EW3UgiTlqxcdThTeBw==" saltValue="ZCk/6h5ba3+mVHP21cLC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PONFERRADA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1.0565371024734982</v>
      </c>
      <c r="I9" s="350">
        <f>IF(ISNUMBER((Tasas!C9-Datos!BE9)/Datos!BE9),(Tasas!C9-Datos!BE9)/Datos!BE9," - ")</f>
        <v>0.6885496642686626</v>
      </c>
      <c r="J9" s="349">
        <f>IF(ISNUMBER((Tasas!D9-Datos!BF9)/Datos!BF9),(Tasas!D9-Datos!BF9)/Datos!BF9," - ")</f>
        <v>-2.3005957478325297E-3</v>
      </c>
      <c r="K9" s="351">
        <f>IF(ISNUMBER((Tasas!E9-Datos!BG9)/Datos!BG9),(Tasas!E9-Datos!BG9)/Datos!BG9," - ")</f>
        <v>0.39590288653244055</v>
      </c>
      <c r="M9" t="e">
        <f>IF(Monitorios="SI",Datos!CE9,0)</f>
        <v>#REF!</v>
      </c>
      <c r="N9" t="e">
        <f>IF(Monitorios="SI",Datos!CF9,0)</f>
        <v>#REF!</v>
      </c>
      <c r="O9" t="e">
        <f>IF(Monitorios="SI",Datos!CG9,0)</f>
        <v>#REF!</v>
      </c>
      <c r="P9" t="e">
        <f>IF(Monitorios="SI",Datos!CH9,0)</f>
        <v>#REF!</v>
      </c>
      <c r="Q9">
        <f>IF(J_V="SI",0,Datos!AG9)</f>
        <v>38</v>
      </c>
      <c r="R9">
        <f>IF(J_V="SI",0,Datos!AH9)</f>
        <v>96</v>
      </c>
      <c r="S9">
        <f>IF(J_V="SI",0,Datos!AI9)</f>
        <v>88</v>
      </c>
      <c r="T9">
        <f>IF(J_V="SI",0,Datos!AJ9)</f>
        <v>46</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0.46153846153846156</v>
      </c>
      <c r="F10" s="348">
        <f>IF(ISNUMBER((Datos!K10-Datos!U10)/Datos!U10),(Datos!K10-Datos!U10)/Datos!U10," - ")</f>
        <v>1</v>
      </c>
      <c r="G10" s="349">
        <f>IF(ISNUMBER((Datos!L10-Datos!V10)/Datos!V10),(Datos!L10-Datos!V10)/Datos!V10," - ")</f>
        <v>-0.25806451612903225</v>
      </c>
      <c r="H10" s="230" t="str">
        <f>IF(ISNUMBER((Datos!M10-Datos!W10)/Datos!W10),(Datos!M10-Datos!W10)/Datos!W10," - ")</f>
        <v xml:space="preserve"> - </v>
      </c>
      <c r="I10" s="350">
        <f>IF(ISNUMBER((Tasas!C10-Datos!BE10)/Datos!BE10),(Tasas!C10-Datos!BE10)/Datos!BE10," - ")</f>
        <v>-0.62903225806451613</v>
      </c>
      <c r="J10" s="349" t="str">
        <f>IF(ISNUMBER((Tasas!D10-Datos!BF10)/Datos!BF10),(Tasas!D10-Datos!BF10)/Datos!BF10," - ")</f>
        <v xml:space="preserve"> - </v>
      </c>
      <c r="K10" s="351">
        <f>IF(ISNUMBER((Tasas!E10-Datos!BG10)/Datos!BG10),(Tasas!E10-Datos!BG10)/Datos!BG10," - ")</f>
        <v>-0.47560975609756095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-0.88</v>
      </c>
      <c r="I12" s="350">
        <f>IF(ISNUMBER((Tasas!C12-Datos!BE12)/Datos!BE12),(Tasas!C12-Datos!BE12)/Datos!BE12," - ")</f>
        <v>0.55278874379997966</v>
      </c>
      <c r="J12" s="349">
        <f>IF(ISNUMBER((Tasas!D12-Datos!BF12)/Datos!BF12),(Tasas!D12-Datos!BF12)/Datos!BF12," - ")</f>
        <v>-0.13513513513513509</v>
      </c>
      <c r="K12" s="351">
        <f>IF(ISNUMBER((Tasas!E12-Datos!BG12)/Datos!BG12),(Tasas!E12-Datos!BG12)/Datos!BG12," - ")</f>
        <v>0.30641484858352308</v>
      </c>
      <c r="M12" t="e">
        <f>IF(Monitorios="SI",Datos!CE12,0)</f>
        <v>#REF!</v>
      </c>
      <c r="N12" t="e">
        <f>IF(Monitorios="SI",Datos!CF12,0)</f>
        <v>#REF!</v>
      </c>
      <c r="O12" t="e">
        <f>IF(Monitorios="SI",Datos!CG12,0)</f>
        <v>#REF!</v>
      </c>
      <c r="P12" t="e">
        <f>IF(Monitorios="SI",Datos!CH12,0)</f>
        <v>#REF!</v>
      </c>
      <c r="Q12">
        <f>IF(J_V="SI",0,Datos!AG12)</f>
        <v>15</v>
      </c>
      <c r="R12">
        <f>IF(J_V="SI",0,Datos!AH12)</f>
        <v>8</v>
      </c>
      <c r="S12">
        <f>IF(J_V="SI",0,Datos!AI12)</f>
        <v>19</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0.58485639686684077</v>
      </c>
      <c r="I13" s="357">
        <f>IF(ISNUMBER((Tasas!C13-Datos!BE13)/Datos!BE13),(Tasas!C13-Datos!BE13)/Datos!BE13," - ")</f>
        <v>0.74265414769316596</v>
      </c>
      <c r="J13" s="355">
        <f>IF(ISNUMBER((Tasas!D13-Datos!BF13)/Datos!BF13),(Tasas!D13-Datos!BF13)/Datos!BF13," - ")</f>
        <v>-3.9545514142341136E-2</v>
      </c>
      <c r="K13" s="358">
        <f>IF(ISNUMBER((Tasas!E13-Datos!BG13)/Datos!BG13),(Tasas!E13-Datos!BG13)/Datos!BG13," - ")</f>
        <v>0.42339325593795313</v>
      </c>
      <c r="M13" t="e">
        <f>IF(Monitorios="SI",Datos!CE13,0)</f>
        <v>#REF!</v>
      </c>
      <c r="N13" t="e">
        <f>IF(Monitorios="SI",Datos!CF13,0)</f>
        <v>#REF!</v>
      </c>
      <c r="O13" t="e">
        <f>IF(Monitorios="SI",Datos!CG13,0)</f>
        <v>#REF!</v>
      </c>
      <c r="P13" t="e">
        <f>IF(Monitorios="SI",Datos!CH13,0)</f>
        <v>#REF!</v>
      </c>
      <c r="Q13">
        <f>IF(J_V="SI",0,Datos!AG13)</f>
        <v>53</v>
      </c>
      <c r="R13">
        <f>IF(J_V="SI",0,Datos!AH13)</f>
        <v>104</v>
      </c>
      <c r="S13">
        <f>IF(J_V="SI",0,Datos!AI13)</f>
        <v>107</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2.9216101694915255</v>
      </c>
      <c r="E15" s="348">
        <f>IF(ISNUMBER(
   IF(D_I="SI",(Datos!J15-Datos!T15)/Datos!T15,(Datos!J15+Datos!AD15-(Datos!T15+Datos!AL15))/(Datos!T15+Datos!AL15))
     ),IF(D_I="SI",(Datos!J15-Datos!T15)/Datos!T15,(Datos!J15+Datos!AD15-(Datos!T15+Datos!AL15))/(Datos!T15+Datos!AL15))," - ")</f>
        <v>8.892763731473409E-2</v>
      </c>
      <c r="F15" s="348">
        <f>IF(ISNUMBER(
   IF(D_I="SI",(Datos!K15-Datos!U15)/Datos!U15,(Datos!K15+Datos!AE15-(Datos!U15+Datos!AM15))/(Datos!U15+Datos!AM15))
     ),IF(D_I="SI",(Datos!K15-Datos!U15)/Datos!U15,(Datos!K15+Datos!AE15-(Datos!U15+Datos!AM15))/(Datos!U15+Datos!AM15))," - ")</f>
        <v>0.74149659863945583</v>
      </c>
      <c r="G15" s="349">
        <f>IF(ISNUMBER(
   IF(D_I="SI",(Datos!L15-Datos!V15)/Datos!V15,(Datos!L15+Datos!AF15-(Datos!V15+Datos!AN15))/(Datos!V15+Datos!AN15))
     ),IF(D_I="SI",(Datos!L15-Datos!V15)/Datos!V15,(Datos!L15+Datos!AF15-(Datos!V15+Datos!AN15))/(Datos!V15+Datos!AN15))," - ")</f>
        <v>1.0721533258173619</v>
      </c>
      <c r="H15" s="230">
        <f>IF(ISNUMBER((Datos!M15-Datos!W15)/Datos!W15),(Datos!M15-Datos!W15)/Datos!W15," - ")</f>
        <v>1.5256410256410255</v>
      </c>
      <c r="I15" s="350">
        <f>IF(ISNUMBER((Tasas!C15-Datos!BE15)/Datos!BE15),(Tasas!C15-Datos!BE15)/Datos!BE15," - ")</f>
        <v>0.18986929255918839</v>
      </c>
      <c r="J15" s="349">
        <f>IF(ISNUMBER((Tasas!D15-Datos!BF15)/Datos!BF15),(Tasas!D15-Datos!BF15)/Datos!BF15," - ")</f>
        <v>0.45027043269230771</v>
      </c>
      <c r="K15" s="351">
        <f>IF(ISNUMBER((Tasas!E15-Datos!BG15)/Datos!BG15),(Tasas!E15-Datos!BG15)/Datos!BG15," - ")</f>
        <v>9.949235639283513E-2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-0.67050691244239635</v>
      </c>
      <c r="E16" s="348">
        <f>IF(ISNUMBER(
   IF(D_I="SI",(Datos!J16-Datos!T16)/Datos!T16,(Datos!J16+Datos!AD16-(Datos!T16+Datos!AL16))/(Datos!T16+Datos!AL16))
     ),IF(D_I="SI",(Datos!J16-Datos!T16)/Datos!T16,(Datos!J16+Datos!AD16-(Datos!T16+Datos!AL16))/(Datos!T16+Datos!AL16))," - ")</f>
        <v>-0.89380530973451322</v>
      </c>
      <c r="F16" s="348">
        <f>IF(ISNUMBER(
   IF(D_I="SI",(Datos!K16-Datos!U16)/Datos!U16,(Datos!K16+Datos!AE16-(Datos!U16+Datos!AM16))/(Datos!U16+Datos!AM16))
     ),IF(D_I="SI",(Datos!K16-Datos!U16)/Datos!U16,(Datos!K16+Datos!AE16-(Datos!U16+Datos!AM16))/(Datos!U16+Datos!AM16))," - ")</f>
        <v>-0.88555858310626701</v>
      </c>
      <c r="G16" s="349">
        <f>IF(ISNUMBER(
   IF(D_I="SI",(Datos!L16-Datos!V16)/Datos!V16,(Datos!L16+Datos!AF16-(Datos!V16+Datos!AN16))/(Datos!V16+Datos!AN16))
     ),IF(D_I="SI",(Datos!L16-Datos!V16)/Datos!V16,(Datos!L16+Datos!AF16-(Datos!V16+Datos!AN16))/(Datos!V16+Datos!AN16))," - ")</f>
        <v>-0.57471264367816088</v>
      </c>
      <c r="H16" s="230">
        <f>IF(ISNUMBER((Datos!M16-Datos!W16)/Datos!W16),(Datos!M16-Datos!W16)/Datos!W16," - ")</f>
        <v>-0.88135593220338981</v>
      </c>
      <c r="I16" s="350">
        <f>IF(ISNUMBER((Tasas!C16-Datos!BE16)/Datos!BE16),(Tasas!C16-Datos!BE16)/Datos!BE16," - ")</f>
        <v>2.7162014230979747</v>
      </c>
      <c r="J16" s="349">
        <f>IF(ISNUMBER((Tasas!D16-Datos!BF16)/Datos!BF16),(Tasas!D16-Datos!BF16)/Datos!BF16," - ")</f>
        <v>3.6723163841807939E-2</v>
      </c>
      <c r="K16" s="351">
        <f>IF(ISNUMBER((Tasas!E16-Datos!BG16)/Datos!BG16),(Tasas!E16-Datos!BG16)/Datos!BG16," - ")</f>
        <v>1.654385709431581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0.99065420560747663</v>
      </c>
      <c r="E17" s="348">
        <f>IF(ISNUMBER(
   IF(D_I="SI",(Datos!J17-Datos!T17)/Datos!T17,(Datos!J17+Datos!AD17-(Datos!T17+Datos!AL17))/(Datos!T17+Datos!AL17))
     ),IF(D_I="SI",(Datos!J17-Datos!T17)/Datos!T17,(Datos!J17+Datos!AD17-(Datos!T17+Datos!AL17))/(Datos!T17+Datos!AL17))," - ")</f>
        <v>0.22330097087378642</v>
      </c>
      <c r="F17" s="348">
        <f>IF(ISNUMBER(
   IF(D_I="SI",(Datos!K17-Datos!U17)/Datos!U17,(Datos!K17+Datos!AE17-(Datos!U17+Datos!AM17))/(Datos!U17+Datos!AM17))
     ),IF(D_I="SI",(Datos!K17-Datos!U17)/Datos!U17,(Datos!K17+Datos!AE17-(Datos!U17+Datos!AM17))/(Datos!U17+Datos!AM17))," - ")</f>
        <v>0.32183908045977011</v>
      </c>
      <c r="G17" s="349">
        <f>IF(ISNUMBER(
   IF(D_I="SI",(Datos!L17-Datos!V17)/Datos!V17,(Datos!L17+Datos!AF17-(Datos!V17+Datos!AN17))/(Datos!V17+Datos!AN17))
     ),IF(D_I="SI",(Datos!L17-Datos!V17)/Datos!V17,(Datos!L17+Datos!AF17-(Datos!V17+Datos!AN17))/(Datos!V17+Datos!AN17))," - ")</f>
        <v>0.82113821138211385</v>
      </c>
      <c r="H17" s="230">
        <f>IF(ISNUMBER((Datos!M17-Datos!W17)/Datos!W17),(Datos!M17-Datos!W17)/Datos!W17," - ")</f>
        <v>-0.65217391304347827</v>
      </c>
      <c r="I17" s="350">
        <f>IF(ISNUMBER((Tasas!C17-Datos!BE17)/Datos!BE17),(Tasas!C17-Datos!BE17)/Datos!BE17," - ")</f>
        <v>0.37773064687168623</v>
      </c>
      <c r="J17" s="349">
        <f>IF(ISNUMBER((Tasas!D17-Datos!BF17)/Datos!BF17),(Tasas!D17-Datos!BF17)/Datos!BF17," - ")</f>
        <v>-0.73686200378071842</v>
      </c>
      <c r="K17" s="351">
        <f>IF(ISNUMBER((Tasas!E17-Datos!BG17)/Datos!BG17),(Tasas!E17-Datos!BG17)/Datos!BG17," - ")</f>
        <v>0.22124223602484469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0.62404975812024877</v>
      </c>
      <c r="E18" s="354">
        <f>IF(ISNUMBER(
   IF(D_I="SI",(Datos!J18-Datos!T18)/Datos!T18,(Datos!J18+Datos!AD18-(Datos!T18+Datos!AL18))/(Datos!T18+Datos!AL18))
     ),IF(D_I="SI",(Datos!J18-Datos!T18)/Datos!T18,(Datos!J18+Datos!AD18-(Datos!T18+Datos!AL18))/(Datos!T18+Datos!AL18))," - ")</f>
        <v>1.7608217168011739E-2</v>
      </c>
      <c r="F18" s="354">
        <f>IF(ISNUMBER(
   IF(D_I="SI",(Datos!K18-Datos!U18)/Datos!U18,(Datos!K18+Datos!AE18-(Datos!U18+Datos!AM18))/(Datos!U18+Datos!AM18))
     ),IF(D_I="SI",(Datos!K18-Datos!U18)/Datos!U18,(Datos!K18+Datos!AE18-(Datos!U18+Datos!AM18))/(Datos!U18+Datos!AM18))," - ")</f>
        <v>0.20857863751051303</v>
      </c>
      <c r="G18" s="355">
        <f>IF(ISNUMBER(
   IF(D_I="SI",(Datos!L18-Datos!V18)/Datos!V18,(Datos!L18+Datos!AF18-(Datos!V18+Datos!AN18))/(Datos!V18+Datos!AN18))
     ),IF(D_I="SI",(Datos!L18-Datos!V18)/Datos!V18,(Datos!L18+Datos!AF18-(Datos!V18+Datos!AN18))/(Datos!V18+Datos!AN18))," - ")</f>
        <v>0.43360098826436072</v>
      </c>
      <c r="H18" s="356">
        <f>IF(ISNUMBER((Datos!M18-Datos!W18)/Datos!W18),(Datos!M18-Datos!W18)/Datos!W18," - ")</f>
        <v>0.32500000000000001</v>
      </c>
      <c r="I18" s="357">
        <f>IF(ISNUMBER((Tasas!C18-Datos!BE18)/Datos!BE18),(Tasas!C18-Datos!BE18)/Datos!BE18," - ")</f>
        <v>0.186187595717693</v>
      </c>
      <c r="J18" s="355">
        <f>IF(ISNUMBER((Tasas!D18-Datos!BF18)/Datos!BF18),(Tasas!D18-Datos!BF18)/Datos!BF18," - ")</f>
        <v>9.6329157967988827E-2</v>
      </c>
      <c r="K18" s="358">
        <f>IF(ISNUMBER((Tasas!E18-Datos!BG18)/Datos!BG18),(Tasas!E18-Datos!BG18)/Datos!BG18," - ")</f>
        <v>0.10037791266403658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0.56418383518225035</v>
      </c>
      <c r="E19" s="363">
        <f>IF(ISNUMBER(
   IF(J_V="SI",(Datos!J19-Datos!T19)/Datos!T19,(Datos!J19+Datos!Z19-(Datos!T19+Datos!AH19))/(Datos!T19+Datos!AH19))
     ),IF(J_V="SI",(Datos!J19-Datos!T19)/Datos!T19,(Datos!J19+Datos!Z19-(Datos!T19+Datos!AH19))/(Datos!T19+Datos!AH19))," - ")</f>
        <v>0.51738317757009344</v>
      </c>
      <c r="F19" s="363">
        <f>IF(ISNUMBER(
   IF(J_V="SI",(Datos!K19-Datos!U19)/Datos!U19,(Datos!K19+Datos!AA19-(Datos!U19+Datos!AI19))/(Datos!U19+Datos!AI19))
     ),IF(J_V="SI",(Datos!K19-Datos!U19)/Datos!U19,(Datos!K19+Datos!AA19-(Datos!U19+Datos!AI19))/(Datos!U19+Datos!AI19))," - ")</f>
        <v>0.20452911574406901</v>
      </c>
      <c r="G19" s="364">
        <f>IF(ISNUMBER(
   IF(J_V="SI",(Datos!L19-Datos!V19)/Datos!V19,(Datos!L19+Datos!AB19-(Datos!V19+Datos!AJ19))/(Datos!V19+Datos!AJ19))
     ),IF(J_V="SI",(Datos!L19-Datos!V19)/Datos!V19,(Datos!L19+Datos!AB19-(Datos!V19+Datos!AJ19))/(Datos!V19+Datos!AJ19))," - ")</f>
        <v>0.80390561432058583</v>
      </c>
      <c r="H19" s="365">
        <f>IF(ISNUMBER((Datos!M19-Datos!W19)/Datos!W19),(Datos!M19-Datos!W19)/Datos!W19," - ")</f>
        <v>0.50828729281767959</v>
      </c>
      <c r="I19" s="362">
        <f>IF(ISNUMBER((Tasas!C19-Datos!BE19)/Datos!BE19),(Tasas!C19-Datos!BE19)/Datos!BE19," - ")</f>
        <v>0.4976023333452313</v>
      </c>
      <c r="J19" s="363">
        <f>IF(ISNUMBER((Tasas!D19-Datos!BF19)/Datos!BF19),(Tasas!D19-Datos!BF19)/Datos!BF19," - ")</f>
        <v>-8.8429283978586626E-3</v>
      </c>
      <c r="K19" s="364">
        <f>IF(ISNUMBER((Tasas!E19-Datos!BG19)/Datos!BG19),(Tasas!E19-Datos!BG19)/Datos!BG19," - ")</f>
        <v>0.2824989327189637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1.3788179778832201</v>
      </c>
      <c r="E21" s="278">
        <f t="shared" si="1"/>
        <v>0.51669352590692252</v>
      </c>
      <c r="F21" s="278">
        <f t="shared" si="1"/>
        <v>0.7240027982819548</v>
      </c>
      <c r="G21" s="279">
        <f t="shared" si="1"/>
        <v>0.70039387229384598</v>
      </c>
      <c r="H21" s="285">
        <f t="shared" si="1"/>
        <v>0.97484056878706538</v>
      </c>
      <c r="I21" s="277">
        <f t="shared" si="1"/>
        <v>0.95678200729510576</v>
      </c>
      <c r="J21" s="278">
        <f t="shared" si="1"/>
        <v>0.35603402483732277</v>
      </c>
      <c r="K21" s="279">
        <f t="shared" si="1"/>
        <v>0.60159297539372691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7FXNH1TP9EKUKdCNhI09gylVogYcFiqdPlqZYUAYt/L5i+eXmhP/l26VqGy6ZtzAz6NI8gALm7CxpxSwx6lwA==" saltValue="kuGGvDAQo8gn/R37qubm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